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vhb\gbl\proj\Raleigh\39300.17 NCDOT_Ped Plex 3 HSIP\tech\RAISE 2024\BCA\Monkey Junction 2025 BCA\"/>
    </mc:Choice>
  </mc:AlternateContent>
  <xr:revisionPtr revIDLastSave="0" documentId="13_ncr:1_{60088C9E-930C-40D0-AAF7-230A19943408}" xr6:coauthVersionLast="47" xr6:coauthVersionMax="47" xr10:uidLastSave="{00000000-0000-0000-0000-000000000000}"/>
  <bookViews>
    <workbookView xWindow="-120" yWindow="-120" windowWidth="29040" windowHeight="15840" tabRatio="874" firstSheet="7" activeTab="23" xr2:uid="{F359A226-429B-4B39-ADCF-FA4E6BC947FC}"/>
  </bookViews>
  <sheets>
    <sheet name="Population and Mode Share (Arc)" sheetId="42" state="hidden" r:id="rId1"/>
    <sheet name="Overview" sheetId="1" r:id="rId2"/>
    <sheet name="Parameter Values" sheetId="12" r:id="rId3"/>
    <sheet name="Project Information" sheetId="28" r:id="rId4"/>
    <sheet name="User Volumes" sheetId="34" r:id="rId5"/>
    <sheet name="Capital Costs" sheetId="2" r:id="rId6"/>
    <sheet name="Operations and Maintenance" sheetId="3" r:id="rId7"/>
    <sheet name="Safety" sheetId="31" r:id="rId8"/>
    <sheet name="Travel Time Savings" sheetId="32" state="hidden" r:id="rId9"/>
    <sheet name="Vehicle Operating Cost Savings" sheetId="33" state="hidden" r:id="rId10"/>
    <sheet name="Emissions Reduction" sheetId="20" r:id="rId11"/>
    <sheet name="Other Highway Use Externalities" sheetId="35" state="hidden" r:id="rId12"/>
    <sheet name="Amenity Benefits" sheetId="21" r:id="rId13"/>
    <sheet name="Health Benefits" sheetId="22" r:id="rId14"/>
    <sheet name="Residual Value" sheetId="23" r:id="rId15"/>
    <sheet name="Other Benefit 1" sheetId="24" state="hidden" r:id="rId16"/>
    <sheet name="Other Benefit 2" sheetId="25" state="hidden" r:id="rId17"/>
    <sheet name="Other Benefit 3" sheetId="26" state="hidden" r:id="rId18"/>
    <sheet name="Other Benefit 4" sheetId="27" state="hidden" r:id="rId19"/>
    <sheet name="Summary" sheetId="11" r:id="rId20"/>
    <sheet name="Final Results" sheetId="30" r:id="rId21"/>
    <sheet name="Population and Mode Share Proj." sheetId="39" r:id="rId22"/>
    <sheet name="Trip Multipliers" sheetId="40" r:id="rId23"/>
    <sheet name="Census Modal Data" sheetId="36" r:id="rId24"/>
    <sheet name="Census Population Data" sheetId="37" r:id="rId25"/>
  </sheets>
  <externalReferences>
    <externalReference r:id="rId2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0" l="1"/>
  <c r="J9" i="40"/>
  <c r="D22" i="39"/>
  <c r="K22" i="39"/>
  <c r="M22" i="39"/>
  <c r="L22" i="39"/>
  <c r="J22" i="39"/>
  <c r="I22" i="39"/>
  <c r="H22" i="39"/>
  <c r="G22" i="39"/>
  <c r="I20" i="39"/>
  <c r="AC36" i="31"/>
  <c r="AC33" i="31"/>
  <c r="AB36" i="31"/>
  <c r="AB33" i="31"/>
  <c r="Q33" i="31"/>
  <c r="B20" i="31"/>
  <c r="B21" i="31"/>
  <c r="B22" i="31"/>
  <c r="B23" i="31"/>
  <c r="B24" i="31"/>
  <c r="B25" i="31"/>
  <c r="B26" i="31"/>
  <c r="B27" i="31"/>
  <c r="B28" i="31"/>
  <c r="B29" i="31"/>
  <c r="B30" i="31"/>
  <c r="B31" i="31"/>
  <c r="B32" i="31"/>
  <c r="B33" i="31"/>
  <c r="B34" i="31"/>
  <c r="B35" i="31"/>
  <c r="B36" i="31"/>
  <c r="B37" i="31"/>
  <c r="B38" i="31"/>
  <c r="B19" i="31"/>
  <c r="L47" i="40"/>
  <c r="C23" i="40"/>
  <c r="C19" i="31"/>
  <c r="C5" i="3"/>
  <c r="D7" i="23"/>
  <c r="C9" i="2"/>
  <c r="B6" i="23" s="1"/>
  <c r="H14" i="21"/>
  <c r="G14" i="21"/>
  <c r="G12" i="21"/>
  <c r="B14" i="20"/>
  <c r="B35" i="11"/>
  <c r="C8" i="3"/>
  <c r="C9" i="3"/>
  <c r="C10" i="3"/>
  <c r="C11" i="3"/>
  <c r="C12" i="3"/>
  <c r="C13" i="3"/>
  <c r="C14" i="3"/>
  <c r="C15" i="3"/>
  <c r="C16" i="3"/>
  <c r="E19" i="39"/>
  <c r="D33" i="39"/>
  <c r="U36" i="31"/>
  <c r="L50" i="31"/>
  <c r="L49" i="31"/>
  <c r="H36" i="31"/>
  <c r="V11" i="34"/>
  <c r="V12" i="34" s="1"/>
  <c r="B105" i="37"/>
  <c r="B20" i="39"/>
  <c r="F32" i="39" s="1"/>
  <c r="F20" i="39"/>
  <c r="E20" i="39"/>
  <c r="E32" i="39" s="1"/>
  <c r="Z34" i="39"/>
  <c r="Z35" i="39"/>
  <c r="Z36" i="39"/>
  <c r="Z37" i="39"/>
  <c r="Z38" i="39"/>
  <c r="Z39" i="39"/>
  <c r="Z40" i="39"/>
  <c r="Z41" i="39"/>
  <c r="Z42" i="39"/>
  <c r="Z43" i="39"/>
  <c r="Z44" i="39"/>
  <c r="Z45" i="39"/>
  <c r="Z46" i="39"/>
  <c r="Z47" i="39"/>
  <c r="Z48" i="39"/>
  <c r="Z49" i="39"/>
  <c r="Z50" i="39"/>
  <c r="Z51" i="39"/>
  <c r="Z52" i="39"/>
  <c r="Z53" i="39"/>
  <c r="Z54" i="39"/>
  <c r="Z55" i="39"/>
  <c r="Z56" i="39"/>
  <c r="Z57" i="39"/>
  <c r="G13" i="21"/>
  <c r="C6" i="20"/>
  <c r="C5" i="22"/>
  <c r="A7" i="22"/>
  <c r="L48" i="40"/>
  <c r="K19" i="3"/>
  <c r="C17" i="3" s="1"/>
  <c r="E54" i="39" l="1"/>
  <c r="B25" i="34" s="1"/>
  <c r="D48" i="20" s="1"/>
  <c r="E38" i="39"/>
  <c r="F34" i="39"/>
  <c r="F45" i="39"/>
  <c r="F44" i="39"/>
  <c r="F43" i="39"/>
  <c r="F38" i="39"/>
  <c r="F36" i="39"/>
  <c r="F42" i="39"/>
  <c r="F39" i="39"/>
  <c r="F33" i="39"/>
  <c r="F41" i="39"/>
  <c r="F40" i="39"/>
  <c r="F35" i="39"/>
  <c r="F47" i="39"/>
  <c r="F37" i="39"/>
  <c r="E34" i="39"/>
  <c r="C23" i="3"/>
  <c r="C22" i="3"/>
  <c r="C21" i="3"/>
  <c r="C20" i="3"/>
  <c r="C19" i="3"/>
  <c r="C7" i="3"/>
  <c r="C6" i="3"/>
  <c r="C24" i="3"/>
  <c r="C18" i="3"/>
  <c r="E33" i="39"/>
  <c r="E35" i="39"/>
  <c r="B6" i="34" s="1"/>
  <c r="E36" i="39"/>
  <c r="B7" i="34" s="1"/>
  <c r="D30" i="20" s="1"/>
  <c r="E37" i="39"/>
  <c r="B8" i="34" s="1"/>
  <c r="D31" i="20" s="1"/>
  <c r="B9" i="34"/>
  <c r="D32" i="20" s="1"/>
  <c r="E39" i="39"/>
  <c r="B10" i="34" s="1"/>
  <c r="D33" i="20" s="1"/>
  <c r="E40" i="39"/>
  <c r="B11" i="34" s="1"/>
  <c r="D34" i="20" s="1"/>
  <c r="E41" i="39"/>
  <c r="B12" i="34" s="1"/>
  <c r="D35" i="20" s="1"/>
  <c r="E42" i="39"/>
  <c r="B13" i="34" s="1"/>
  <c r="D36" i="20" s="1"/>
  <c r="E43" i="39"/>
  <c r="B14" i="34" s="1"/>
  <c r="D37" i="20" s="1"/>
  <c r="E44" i="39"/>
  <c r="B15" i="34" s="1"/>
  <c r="D38" i="20" s="1"/>
  <c r="E45" i="39"/>
  <c r="B16" i="34" s="1"/>
  <c r="D39" i="20" s="1"/>
  <c r="E46" i="39"/>
  <c r="E47" i="39"/>
  <c r="B18" i="34" s="1"/>
  <c r="D41" i="20" s="1"/>
  <c r="E48" i="39"/>
  <c r="B19" i="34" s="1"/>
  <c r="D42" i="20" s="1"/>
  <c r="E49" i="39"/>
  <c r="B20" i="34" s="1"/>
  <c r="D43" i="20" s="1"/>
  <c r="E50" i="39"/>
  <c r="B21" i="34" s="1"/>
  <c r="D44" i="20" s="1"/>
  <c r="E51" i="39"/>
  <c r="B22" i="34" s="1"/>
  <c r="D45" i="20" s="1"/>
  <c r="E52" i="39"/>
  <c r="B23" i="34" s="1"/>
  <c r="D46" i="20" s="1"/>
  <c r="E53" i="39"/>
  <c r="B24" i="34" s="1"/>
  <c r="D47" i="20" s="1"/>
  <c r="T33" i="31"/>
  <c r="U33" i="31" s="1"/>
  <c r="B17" i="34" l="1"/>
  <c r="D40" i="20" s="1"/>
  <c r="E58" i="39"/>
  <c r="D29" i="20"/>
  <c r="B29" i="20"/>
  <c r="B10" i="28"/>
  <c r="D26" i="33" l="1"/>
  <c r="C27" i="40"/>
  <c r="D38" i="40"/>
  <c r="D39" i="40"/>
  <c r="C56" i="42"/>
  <c r="C55" i="42"/>
  <c r="C54" i="42"/>
  <c r="C53" i="42"/>
  <c r="E52" i="42"/>
  <c r="F52" i="42" s="1"/>
  <c r="G52" i="42" s="1"/>
  <c r="D52" i="42"/>
  <c r="C52" i="42"/>
  <c r="C51" i="42"/>
  <c r="I50" i="42"/>
  <c r="J50" i="42" s="1"/>
  <c r="C50" i="42"/>
  <c r="E49" i="42"/>
  <c r="F49" i="42" s="1"/>
  <c r="G49" i="42" s="1"/>
  <c r="D49" i="42"/>
  <c r="C49" i="42"/>
  <c r="C48" i="42"/>
  <c r="C47" i="42"/>
  <c r="E46" i="42"/>
  <c r="F46" i="42" s="1"/>
  <c r="G46" i="42" s="1"/>
  <c r="D46" i="42"/>
  <c r="C46" i="42"/>
  <c r="C45" i="42"/>
  <c r="C44" i="42"/>
  <c r="C43" i="42"/>
  <c r="E42" i="42"/>
  <c r="F42" i="42" s="1"/>
  <c r="G42" i="42" s="1"/>
  <c r="D42" i="42"/>
  <c r="C42" i="42"/>
  <c r="E41" i="42"/>
  <c r="F41" i="42" s="1"/>
  <c r="G41" i="42" s="1"/>
  <c r="D41" i="42"/>
  <c r="C41" i="42"/>
  <c r="C40" i="42"/>
  <c r="C39" i="42"/>
  <c r="E38" i="42"/>
  <c r="F38" i="42" s="1"/>
  <c r="G38" i="42" s="1"/>
  <c r="D38" i="42"/>
  <c r="C38" i="42"/>
  <c r="C37" i="42"/>
  <c r="E36" i="42"/>
  <c r="F36" i="42" s="1"/>
  <c r="G36" i="42" s="1"/>
  <c r="D36" i="42"/>
  <c r="C36" i="42"/>
  <c r="C35" i="42"/>
  <c r="E34" i="42"/>
  <c r="F34" i="42" s="1"/>
  <c r="G34" i="42" s="1"/>
  <c r="D34" i="42"/>
  <c r="C34" i="42"/>
  <c r="C33" i="42"/>
  <c r="C32" i="42"/>
  <c r="I31" i="42"/>
  <c r="I53" i="42" s="1"/>
  <c r="J53" i="42" s="1"/>
  <c r="I21" i="42"/>
  <c r="F31" i="42" s="1"/>
  <c r="G31" i="42" s="1"/>
  <c r="H21" i="42"/>
  <c r="G21" i="42"/>
  <c r="F21" i="42"/>
  <c r="E21" i="42"/>
  <c r="D21" i="42"/>
  <c r="C21" i="42"/>
  <c r="K19" i="42"/>
  <c r="K21" i="42" s="1"/>
  <c r="J19" i="42"/>
  <c r="J21" i="42" s="1"/>
  <c r="I19" i="42"/>
  <c r="H19" i="42"/>
  <c r="G19" i="42"/>
  <c r="F19" i="42"/>
  <c r="E19" i="42"/>
  <c r="D19" i="42"/>
  <c r="C19" i="42"/>
  <c r="E31" i="42" s="1"/>
  <c r="B19" i="42"/>
  <c r="D31" i="42" s="1"/>
  <c r="D56" i="42" s="1"/>
  <c r="D36" i="40"/>
  <c r="D37" i="40"/>
  <c r="Q35" i="40"/>
  <c r="D34" i="39"/>
  <c r="D35" i="39"/>
  <c r="D36" i="39"/>
  <c r="D37" i="39"/>
  <c r="D38" i="39"/>
  <c r="D39" i="39"/>
  <c r="D40" i="39"/>
  <c r="D41" i="39"/>
  <c r="D42" i="39"/>
  <c r="D43" i="39"/>
  <c r="D44" i="39"/>
  <c r="D45" i="39"/>
  <c r="D46" i="39"/>
  <c r="D47" i="39"/>
  <c r="D48" i="39"/>
  <c r="D49" i="39"/>
  <c r="D50" i="39"/>
  <c r="D51" i="39"/>
  <c r="D52" i="39"/>
  <c r="D53" i="39"/>
  <c r="D54" i="39"/>
  <c r="D55" i="39"/>
  <c r="D56" i="39"/>
  <c r="D57" i="39"/>
  <c r="L20" i="39"/>
  <c r="K20" i="39"/>
  <c r="D20" i="39"/>
  <c r="G20" i="39"/>
  <c r="J20" i="39"/>
  <c r="M20" i="39"/>
  <c r="H20" i="39"/>
  <c r="F22" i="39" l="1"/>
  <c r="G32" i="39"/>
  <c r="L5" i="40"/>
  <c r="J5" i="40"/>
  <c r="D21" i="39"/>
  <c r="J6" i="40" s="1"/>
  <c r="I33" i="42"/>
  <c r="J33" i="42" s="1"/>
  <c r="I42" i="42"/>
  <c r="J42" i="42" s="1"/>
  <c r="I43" i="42"/>
  <c r="J43" i="42" s="1"/>
  <c r="I36" i="42"/>
  <c r="J36" i="42" s="1"/>
  <c r="I55" i="42"/>
  <c r="J55" i="42" s="1"/>
  <c r="I39" i="42"/>
  <c r="J39" i="42" s="1"/>
  <c r="I49" i="42"/>
  <c r="J49" i="42" s="1"/>
  <c r="D51" i="42"/>
  <c r="E50" i="42"/>
  <c r="F50" i="42" s="1"/>
  <c r="G50" i="42" s="1"/>
  <c r="E54" i="42"/>
  <c r="F54" i="42" s="1"/>
  <c r="G54" i="42" s="1"/>
  <c r="E44" i="42"/>
  <c r="F44" i="42" s="1"/>
  <c r="G44" i="42" s="1"/>
  <c r="E55" i="42"/>
  <c r="F55" i="42" s="1"/>
  <c r="G55" i="42" s="1"/>
  <c r="E45" i="42"/>
  <c r="F45" i="42" s="1"/>
  <c r="G45" i="42" s="1"/>
  <c r="E33" i="42"/>
  <c r="F33" i="42" s="1"/>
  <c r="G33" i="42" s="1"/>
  <c r="E56" i="42"/>
  <c r="I51" i="42"/>
  <c r="J51" i="42" s="1"/>
  <c r="E40" i="42"/>
  <c r="F40" i="42" s="1"/>
  <c r="G40" i="42" s="1"/>
  <c r="I48" i="42"/>
  <c r="J48" i="42" s="1"/>
  <c r="D43" i="42"/>
  <c r="D47" i="42"/>
  <c r="I40" i="42"/>
  <c r="J40" i="42" s="1"/>
  <c r="D54" i="42"/>
  <c r="D44" i="42"/>
  <c r="D55" i="42"/>
  <c r="D45" i="42"/>
  <c r="D33" i="42"/>
  <c r="D48" i="42"/>
  <c r="I45" i="42"/>
  <c r="J45" i="42" s="1"/>
  <c r="E37" i="42"/>
  <c r="F37" i="42" s="1"/>
  <c r="G37" i="42" s="1"/>
  <c r="I41" i="42"/>
  <c r="J41" i="42" s="1"/>
  <c r="D32" i="42"/>
  <c r="E53" i="42"/>
  <c r="F53" i="42" s="1"/>
  <c r="G53" i="42" s="1"/>
  <c r="D35" i="42"/>
  <c r="D50" i="42"/>
  <c r="C20" i="42"/>
  <c r="I32" i="42"/>
  <c r="J32" i="42" s="1"/>
  <c r="D39" i="42"/>
  <c r="I52" i="42"/>
  <c r="J52" i="42" s="1"/>
  <c r="I56" i="42"/>
  <c r="J56" i="42" s="1"/>
  <c r="I46" i="42"/>
  <c r="J46" i="42" s="1"/>
  <c r="I35" i="42"/>
  <c r="J35" i="42" s="1"/>
  <c r="I47" i="42"/>
  <c r="J47" i="42" s="1"/>
  <c r="I37" i="42"/>
  <c r="J37" i="42" s="1"/>
  <c r="I38" i="42"/>
  <c r="J38" i="42" s="1"/>
  <c r="E48" i="42"/>
  <c r="F48" i="42" s="1"/>
  <c r="G48" i="42" s="1"/>
  <c r="E51" i="42"/>
  <c r="F51" i="42" s="1"/>
  <c r="G51" i="42" s="1"/>
  <c r="J31" i="42"/>
  <c r="D37" i="42"/>
  <c r="I54" i="42"/>
  <c r="J54" i="42" s="1"/>
  <c r="I34" i="42"/>
  <c r="J34" i="42" s="1"/>
  <c r="D40" i="42"/>
  <c r="D53" i="42"/>
  <c r="E32" i="42"/>
  <c r="F32" i="42" s="1"/>
  <c r="G32" i="42" s="1"/>
  <c r="I44" i="42"/>
  <c r="J44" i="42" s="1"/>
  <c r="E43" i="42"/>
  <c r="F43" i="42" s="1"/>
  <c r="G43" i="42" s="1"/>
  <c r="E47" i="42"/>
  <c r="F47" i="42" s="1"/>
  <c r="G47" i="42" s="1"/>
  <c r="E35" i="42"/>
  <c r="F35" i="42" s="1"/>
  <c r="G35" i="42" s="1"/>
  <c r="E39" i="42"/>
  <c r="F39" i="42" s="1"/>
  <c r="G39" i="42" s="1"/>
  <c r="H5" i="40"/>
  <c r="I5" i="40"/>
  <c r="O42" i="42" s="1"/>
  <c r="K5" i="40"/>
  <c r="F56" i="39"/>
  <c r="F51" i="39"/>
  <c r="F46" i="39"/>
  <c r="F54" i="39"/>
  <c r="F49" i="39"/>
  <c r="F57" i="39"/>
  <c r="F52" i="39"/>
  <c r="F55" i="39"/>
  <c r="F50" i="39"/>
  <c r="F53" i="39"/>
  <c r="F48" i="39"/>
  <c r="F5" i="40"/>
  <c r="D5" i="40"/>
  <c r="D6" i="40" s="1"/>
  <c r="G5" i="40"/>
  <c r="Q34" i="39" l="1"/>
  <c r="J32" i="39"/>
  <c r="J36" i="39" s="1"/>
  <c r="H32" i="39"/>
  <c r="I32" i="39" s="1"/>
  <c r="G34" i="39"/>
  <c r="G33" i="39"/>
  <c r="H33" i="39" s="1"/>
  <c r="I33" i="39" s="1"/>
  <c r="H6" i="40"/>
  <c r="Q41" i="39"/>
  <c r="Q40" i="39"/>
  <c r="Q50" i="39"/>
  <c r="Q52" i="39"/>
  <c r="Q44" i="39"/>
  <c r="Q43" i="39"/>
  <c r="Q45" i="39"/>
  <c r="Q38" i="39"/>
  <c r="Q51" i="39"/>
  <c r="Q53" i="39"/>
  <c r="Q36" i="39"/>
  <c r="Q39" i="39"/>
  <c r="Q49" i="39"/>
  <c r="Q37" i="39"/>
  <c r="Q46" i="39"/>
  <c r="Q48" i="39"/>
  <c r="Q35" i="39"/>
  <c r="Q42" i="39"/>
  <c r="Q47" i="39"/>
  <c r="Q54" i="39"/>
  <c r="I6" i="40"/>
  <c r="K31" i="42" s="1"/>
  <c r="K42" i="42" s="1"/>
  <c r="P42" i="42" s="1"/>
  <c r="Q42" i="42" s="1"/>
  <c r="O45" i="42"/>
  <c r="O55" i="42"/>
  <c r="O38" i="42"/>
  <c r="O47" i="42"/>
  <c r="C38" i="40"/>
  <c r="J19" i="40"/>
  <c r="L46" i="42"/>
  <c r="R46" i="42" s="1"/>
  <c r="L38" i="42"/>
  <c r="R38" i="42" s="1"/>
  <c r="L41" i="42"/>
  <c r="R41" i="42" s="1"/>
  <c r="L52" i="42"/>
  <c r="R52" i="42" s="1"/>
  <c r="L49" i="42"/>
  <c r="R49" i="42" s="1"/>
  <c r="L42" i="42"/>
  <c r="R42" i="42" s="1"/>
  <c r="O48" i="42"/>
  <c r="L43" i="42"/>
  <c r="R43" i="42" s="1"/>
  <c r="O53" i="42"/>
  <c r="O51" i="42"/>
  <c r="L53" i="42"/>
  <c r="R53" i="42" s="1"/>
  <c r="O46" i="42"/>
  <c r="O56" i="42"/>
  <c r="O40" i="42"/>
  <c r="L39" i="42"/>
  <c r="R39" i="42" s="1"/>
  <c r="O52" i="42"/>
  <c r="L47" i="42"/>
  <c r="R47" i="42" s="1"/>
  <c r="O50" i="42"/>
  <c r="L40" i="42"/>
  <c r="R40" i="42" s="1"/>
  <c r="O44" i="42"/>
  <c r="O49" i="42"/>
  <c r="L45" i="42"/>
  <c r="R45" i="42" s="1"/>
  <c r="L55" i="42"/>
  <c r="R55" i="42" s="1"/>
  <c r="O54" i="42"/>
  <c r="O41" i="42"/>
  <c r="L44" i="42"/>
  <c r="R44" i="42" s="1"/>
  <c r="O39" i="42"/>
  <c r="G57" i="39"/>
  <c r="L37" i="42"/>
  <c r="L54" i="42"/>
  <c r="R54" i="42" s="1"/>
  <c r="L50" i="42"/>
  <c r="R50" i="42" s="1"/>
  <c r="L51" i="42"/>
  <c r="R51" i="42" s="1"/>
  <c r="L48" i="42"/>
  <c r="R48" i="42" s="1"/>
  <c r="O43" i="42"/>
  <c r="F56" i="42"/>
  <c r="G56" i="42" s="1"/>
  <c r="L56" i="42" s="1"/>
  <c r="R56" i="42" s="1"/>
  <c r="O57" i="42"/>
  <c r="K6" i="40"/>
  <c r="C36" i="40"/>
  <c r="F6" i="40"/>
  <c r="E6" i="40"/>
  <c r="G6" i="40"/>
  <c r="G56" i="39"/>
  <c r="G51" i="39"/>
  <c r="O51" i="39" s="1"/>
  <c r="P51" i="39" s="1"/>
  <c r="G46" i="39"/>
  <c r="O46" i="39" s="1"/>
  <c r="P46" i="39" s="1"/>
  <c r="G41" i="39"/>
  <c r="O41" i="39" s="1"/>
  <c r="P41" i="39" s="1"/>
  <c r="G37" i="39"/>
  <c r="O37" i="39" s="1"/>
  <c r="P37" i="39" s="1"/>
  <c r="G54" i="39"/>
  <c r="O54" i="39" s="1"/>
  <c r="P54" i="39" s="1"/>
  <c r="G49" i="39"/>
  <c r="O49" i="39" s="1"/>
  <c r="P49" i="39" s="1"/>
  <c r="G44" i="39"/>
  <c r="O44" i="39" s="1"/>
  <c r="P44" i="39" s="1"/>
  <c r="G39" i="39"/>
  <c r="O39" i="39" s="1"/>
  <c r="P39" i="39" s="1"/>
  <c r="G52" i="39"/>
  <c r="O52" i="39" s="1"/>
  <c r="P52" i="39" s="1"/>
  <c r="G47" i="39"/>
  <c r="O47" i="39" s="1"/>
  <c r="P47" i="39" s="1"/>
  <c r="G42" i="39"/>
  <c r="O42" i="39" s="1"/>
  <c r="P42" i="39" s="1"/>
  <c r="G36" i="39"/>
  <c r="G55" i="39"/>
  <c r="G50" i="39"/>
  <c r="O50" i="39" s="1"/>
  <c r="P50" i="39" s="1"/>
  <c r="G45" i="39"/>
  <c r="O45" i="39" s="1"/>
  <c r="P45" i="39" s="1"/>
  <c r="G40" i="39"/>
  <c r="O40" i="39" s="1"/>
  <c r="P40" i="39" s="1"/>
  <c r="G35" i="39"/>
  <c r="O35" i="39" s="1"/>
  <c r="P35" i="39" s="1"/>
  <c r="G53" i="39"/>
  <c r="O53" i="39" s="1"/>
  <c r="P53" i="39" s="1"/>
  <c r="G48" i="39"/>
  <c r="O48" i="39" s="1"/>
  <c r="P48" i="39" s="1"/>
  <c r="G43" i="39"/>
  <c r="O43" i="39" s="1"/>
  <c r="P43" i="39" s="1"/>
  <c r="G38" i="39"/>
  <c r="O38" i="39" s="1"/>
  <c r="P38" i="39" s="1"/>
  <c r="H36" i="39" l="1"/>
  <c r="I36" i="39" s="1"/>
  <c r="F7" i="34" s="1"/>
  <c r="O36" i="39"/>
  <c r="P36" i="39" s="1"/>
  <c r="H34" i="39"/>
  <c r="I34" i="39" s="1"/>
  <c r="O34" i="39"/>
  <c r="P34" i="39" s="1"/>
  <c r="J34" i="39"/>
  <c r="J33" i="39"/>
  <c r="J35" i="39"/>
  <c r="J38" i="39"/>
  <c r="C39" i="40"/>
  <c r="H48" i="39"/>
  <c r="I48" i="39" s="1"/>
  <c r="H53" i="39"/>
  <c r="I53" i="39" s="1"/>
  <c r="H45" i="39"/>
  <c r="I45" i="39" s="1"/>
  <c r="H50" i="39"/>
  <c r="I50" i="39" s="1"/>
  <c r="H52" i="39"/>
  <c r="I52" i="39" s="1"/>
  <c r="H39" i="39"/>
  <c r="I39" i="39" s="1"/>
  <c r="G10" i="34"/>
  <c r="H42" i="39"/>
  <c r="I42" i="39" s="1"/>
  <c r="G13" i="34"/>
  <c r="H40" i="39"/>
  <c r="I40" i="39" s="1"/>
  <c r="G11" i="34"/>
  <c r="H51" i="39"/>
  <c r="I51" i="39" s="1"/>
  <c r="H56" i="39"/>
  <c r="I56" i="39" s="1"/>
  <c r="H55" i="39"/>
  <c r="I55" i="39" s="1"/>
  <c r="H47" i="39"/>
  <c r="I47" i="39" s="1"/>
  <c r="H44" i="39"/>
  <c r="I44" i="39" s="1"/>
  <c r="H35" i="39"/>
  <c r="I35" i="39" s="1"/>
  <c r="H49" i="39"/>
  <c r="I49" i="39" s="1"/>
  <c r="H54" i="39"/>
  <c r="I54" i="39" s="1"/>
  <c r="H37" i="39"/>
  <c r="I37" i="39" s="1"/>
  <c r="G8" i="34"/>
  <c r="H41" i="39"/>
  <c r="I41" i="39" s="1"/>
  <c r="G12" i="34"/>
  <c r="G9" i="34"/>
  <c r="H43" i="39"/>
  <c r="I43" i="39" s="1"/>
  <c r="G14" i="34"/>
  <c r="H46" i="39"/>
  <c r="I46" i="39" s="1"/>
  <c r="P57" i="39"/>
  <c r="J10" i="40"/>
  <c r="E37" i="40" s="1"/>
  <c r="H38" i="39"/>
  <c r="I38" i="39" s="1"/>
  <c r="J57" i="39"/>
  <c r="K41" i="42"/>
  <c r="P41" i="42" s="1"/>
  <c r="Q41" i="42" s="1"/>
  <c r="K32" i="42"/>
  <c r="K54" i="42"/>
  <c r="P54" i="42" s="1"/>
  <c r="Q54" i="42" s="1"/>
  <c r="K33" i="42"/>
  <c r="K43" i="42"/>
  <c r="P43" i="42" s="1"/>
  <c r="Q43" i="42" s="1"/>
  <c r="K36" i="42"/>
  <c r="K45" i="42"/>
  <c r="P45" i="42" s="1"/>
  <c r="Q45" i="42" s="1"/>
  <c r="K34" i="42"/>
  <c r="K38" i="42"/>
  <c r="P38" i="42" s="1"/>
  <c r="Q38" i="42" s="1"/>
  <c r="K53" i="42"/>
  <c r="P53" i="42" s="1"/>
  <c r="Q53" i="42" s="1"/>
  <c r="K56" i="42"/>
  <c r="P56" i="42" s="1"/>
  <c r="Q56" i="42" s="1"/>
  <c r="K39" i="42"/>
  <c r="P39" i="42" s="1"/>
  <c r="Q39" i="42" s="1"/>
  <c r="K48" i="42"/>
  <c r="P48" i="42" s="1"/>
  <c r="Q48" i="42" s="1"/>
  <c r="K37" i="42"/>
  <c r="P37" i="42" s="1"/>
  <c r="K47" i="42"/>
  <c r="P47" i="42" s="1"/>
  <c r="Q47" i="42" s="1"/>
  <c r="K55" i="42"/>
  <c r="P55" i="42" s="1"/>
  <c r="Q55" i="42" s="1"/>
  <c r="K49" i="42"/>
  <c r="P49" i="42" s="1"/>
  <c r="Q49" i="42" s="1"/>
  <c r="K44" i="42"/>
  <c r="P44" i="42" s="1"/>
  <c r="Q44" i="42" s="1"/>
  <c r="K46" i="42"/>
  <c r="P46" i="42" s="1"/>
  <c r="Q46" i="42" s="1"/>
  <c r="K51" i="42"/>
  <c r="P51" i="42" s="1"/>
  <c r="Q51" i="42" s="1"/>
  <c r="K35" i="42"/>
  <c r="K40" i="42"/>
  <c r="P40" i="42" s="1"/>
  <c r="Q40" i="42" s="1"/>
  <c r="K50" i="42"/>
  <c r="P50" i="42" s="1"/>
  <c r="Q50" i="42" s="1"/>
  <c r="H31" i="42"/>
  <c r="H57" i="39"/>
  <c r="I57" i="39" s="1"/>
  <c r="K52" i="42"/>
  <c r="P52" i="42" s="1"/>
  <c r="Q52" i="42" s="1"/>
  <c r="E39" i="40"/>
  <c r="C37" i="40"/>
  <c r="J20" i="40"/>
  <c r="R35" i="39" l="1"/>
  <c r="B12" i="22"/>
  <c r="B5" i="21"/>
  <c r="F6" i="34"/>
  <c r="G7" i="34"/>
  <c r="R36" i="39"/>
  <c r="G6" i="34"/>
  <c r="H17" i="34"/>
  <c r="H9" i="34"/>
  <c r="H20" i="34"/>
  <c r="H15" i="34"/>
  <c r="H13" i="34"/>
  <c r="H14" i="34"/>
  <c r="I7" i="34"/>
  <c r="H7" i="34"/>
  <c r="H6" i="34"/>
  <c r="I6" i="34"/>
  <c r="I10" i="34"/>
  <c r="H23" i="34"/>
  <c r="H12" i="34"/>
  <c r="I9" i="34"/>
  <c r="I8" i="34"/>
  <c r="H18" i="34"/>
  <c r="H19" i="34"/>
  <c r="X57" i="39"/>
  <c r="I11" i="34"/>
  <c r="G15" i="34"/>
  <c r="H55" i="42"/>
  <c r="M55" i="42" s="1"/>
  <c r="H39" i="42"/>
  <c r="M39" i="42" s="1"/>
  <c r="H50" i="42"/>
  <c r="M50" i="42" s="1"/>
  <c r="H43" i="42"/>
  <c r="M43" i="42" s="1"/>
  <c r="H32" i="42"/>
  <c r="H48" i="42"/>
  <c r="M48" i="42" s="1"/>
  <c r="H47" i="42"/>
  <c r="M47" i="42" s="1"/>
  <c r="H34" i="42"/>
  <c r="H41" i="42"/>
  <c r="M41" i="42" s="1"/>
  <c r="H54" i="42"/>
  <c r="M54" i="42" s="1"/>
  <c r="H52" i="42"/>
  <c r="M52" i="42" s="1"/>
  <c r="H46" i="42"/>
  <c r="M46" i="42" s="1"/>
  <c r="H51" i="42"/>
  <c r="M51" i="42" s="1"/>
  <c r="H33" i="42"/>
  <c r="H42" i="42"/>
  <c r="M42" i="42" s="1"/>
  <c r="H40" i="42"/>
  <c r="M40" i="42" s="1"/>
  <c r="H45" i="42"/>
  <c r="M45" i="42" s="1"/>
  <c r="H49" i="42"/>
  <c r="M49" i="42" s="1"/>
  <c r="H36" i="42"/>
  <c r="H56" i="42"/>
  <c r="M56" i="42" s="1"/>
  <c r="H53" i="42"/>
  <c r="M53" i="42" s="1"/>
  <c r="H44" i="42"/>
  <c r="M44" i="42" s="1"/>
  <c r="H35" i="42"/>
  <c r="H37" i="42"/>
  <c r="M37" i="42" s="1"/>
  <c r="H38" i="42"/>
  <c r="M38" i="42" s="1"/>
  <c r="B13" i="22" l="1"/>
  <c r="B6" i="21"/>
  <c r="H8" i="34"/>
  <c r="H10" i="34"/>
  <c r="H25" i="34"/>
  <c r="H16" i="34"/>
  <c r="H21" i="34"/>
  <c r="H11" i="34"/>
  <c r="H22" i="34"/>
  <c r="H24" i="34"/>
  <c r="I12" i="34"/>
  <c r="G16" i="34"/>
  <c r="S52" i="42"/>
  <c r="T52" i="42" s="1"/>
  <c r="N52" i="42"/>
  <c r="S46" i="42"/>
  <c r="T46" i="42" s="1"/>
  <c r="N46" i="42"/>
  <c r="N49" i="42"/>
  <c r="S49" i="42"/>
  <c r="T49" i="42" s="1"/>
  <c r="N40" i="42"/>
  <c r="S40" i="42"/>
  <c r="T40" i="42" s="1"/>
  <c r="N51" i="42"/>
  <c r="S51" i="42"/>
  <c r="T51" i="42" s="1"/>
  <c r="S41" i="42"/>
  <c r="T41" i="42" s="1"/>
  <c r="N41" i="42"/>
  <c r="S48" i="42"/>
  <c r="T48" i="42" s="1"/>
  <c r="N48" i="42"/>
  <c r="N43" i="42"/>
  <c r="S43" i="42"/>
  <c r="T43" i="42" s="1"/>
  <c r="N44" i="42"/>
  <c r="S44" i="42"/>
  <c r="T44" i="42" s="1"/>
  <c r="N39" i="42"/>
  <c r="S39" i="42"/>
  <c r="T39" i="42" s="1"/>
  <c r="N45" i="42"/>
  <c r="S45" i="42"/>
  <c r="T45" i="42" s="1"/>
  <c r="S42" i="42"/>
  <c r="T42" i="42" s="1"/>
  <c r="N42" i="42"/>
  <c r="S54" i="42"/>
  <c r="T54" i="42" s="1"/>
  <c r="N54" i="42"/>
  <c r="S47" i="42"/>
  <c r="T47" i="42" s="1"/>
  <c r="N47" i="42"/>
  <c r="S38" i="42"/>
  <c r="T38" i="42" s="1"/>
  <c r="N38" i="42"/>
  <c r="N37" i="42"/>
  <c r="S37" i="42"/>
  <c r="S50" i="42"/>
  <c r="T50" i="42" s="1"/>
  <c r="N50" i="42"/>
  <c r="S53" i="42"/>
  <c r="T53" i="42" s="1"/>
  <c r="N53" i="42"/>
  <c r="S55" i="42"/>
  <c r="T55" i="42" s="1"/>
  <c r="N55" i="42"/>
  <c r="N56" i="42"/>
  <c r="S56" i="42"/>
  <c r="T56" i="42" s="1"/>
  <c r="I13" i="34" l="1"/>
  <c r="G17" i="34"/>
  <c r="I14" i="34" l="1"/>
  <c r="G18" i="34"/>
  <c r="I15" i="34" l="1"/>
  <c r="G19" i="34"/>
  <c r="I16" i="34" l="1"/>
  <c r="G20" i="34"/>
  <c r="I17" i="34" l="1"/>
  <c r="G21" i="34"/>
  <c r="F9" i="34"/>
  <c r="J40" i="39"/>
  <c r="F11" i="34" s="1"/>
  <c r="J48" i="39"/>
  <c r="F19" i="34" s="1"/>
  <c r="J54" i="39"/>
  <c r="R34" i="39"/>
  <c r="J50" i="39"/>
  <c r="F21" i="34" s="1"/>
  <c r="J45" i="39"/>
  <c r="F16" i="34" s="1"/>
  <c r="J53" i="39"/>
  <c r="J37" i="39"/>
  <c r="F8" i="34" s="1"/>
  <c r="J41" i="39"/>
  <c r="F12" i="34" s="1"/>
  <c r="J52" i="39"/>
  <c r="F23" i="34" s="1"/>
  <c r="J42" i="39"/>
  <c r="F13" i="34" s="1"/>
  <c r="J43" i="39"/>
  <c r="F14" i="34" s="1"/>
  <c r="J55" i="39"/>
  <c r="X55" i="39" s="1"/>
  <c r="J51" i="39"/>
  <c r="F22" i="34" s="1"/>
  <c r="J56" i="39"/>
  <c r="X56" i="39" s="1"/>
  <c r="J46" i="39"/>
  <c r="F17" i="34" s="1"/>
  <c r="J49" i="39"/>
  <c r="F20" i="34" s="1"/>
  <c r="J44" i="39"/>
  <c r="F15" i="34" s="1"/>
  <c r="J39" i="39"/>
  <c r="F10" i="34" s="1"/>
  <c r="J47" i="39"/>
  <c r="F18" i="34" s="1"/>
  <c r="X34" i="39" l="1"/>
  <c r="F24" i="34"/>
  <c r="X54" i="39"/>
  <c r="F25" i="34"/>
  <c r="X42" i="39"/>
  <c r="X52" i="39"/>
  <c r="X40" i="39"/>
  <c r="X38" i="39"/>
  <c r="X43" i="39"/>
  <c r="X45" i="39"/>
  <c r="X51" i="39"/>
  <c r="X47" i="39"/>
  <c r="X44" i="39"/>
  <c r="X46" i="39"/>
  <c r="X41" i="39"/>
  <c r="X50" i="39"/>
  <c r="X48" i="39"/>
  <c r="X39" i="39"/>
  <c r="X49" i="39"/>
  <c r="X53" i="39"/>
  <c r="X37" i="39"/>
  <c r="R37" i="39"/>
  <c r="X35" i="39"/>
  <c r="X36" i="39"/>
  <c r="R38" i="39"/>
  <c r="I18" i="34"/>
  <c r="G22" i="34"/>
  <c r="R47" i="39"/>
  <c r="R39" i="39"/>
  <c r="R48" i="39"/>
  <c r="R44" i="39"/>
  <c r="R40" i="39"/>
  <c r="R50" i="39"/>
  <c r="R41" i="39"/>
  <c r="R43" i="39"/>
  <c r="R49" i="39"/>
  <c r="R42" i="39"/>
  <c r="R45" i="39"/>
  <c r="R46" i="39"/>
  <c r="B14" i="21" l="1"/>
  <c r="B21" i="22"/>
  <c r="B25" i="22"/>
  <c r="B18" i="21"/>
  <c r="B8" i="21"/>
  <c r="B15" i="22"/>
  <c r="B23" i="22"/>
  <c r="B16" i="21"/>
  <c r="B14" i="22"/>
  <c r="B7" i="21"/>
  <c r="B15" i="21"/>
  <c r="B22" i="22"/>
  <c r="B19" i="22"/>
  <c r="B12" i="21"/>
  <c r="B26" i="22"/>
  <c r="B19" i="21"/>
  <c r="B9" i="21"/>
  <c r="B16" i="22"/>
  <c r="B17" i="21"/>
  <c r="B24" i="22"/>
  <c r="B20" i="22"/>
  <c r="B13" i="21"/>
  <c r="B18" i="22"/>
  <c r="B11" i="21"/>
  <c r="B20" i="21"/>
  <c r="B27" i="22"/>
  <c r="B10" i="21"/>
  <c r="B17" i="22"/>
  <c r="I19" i="34"/>
  <c r="R51" i="39"/>
  <c r="G23" i="34"/>
  <c r="B21" i="21" l="1"/>
  <c r="B28" i="22"/>
  <c r="I20" i="34"/>
  <c r="R52" i="39"/>
  <c r="B22" i="21" l="1"/>
  <c r="B29" i="22"/>
  <c r="G24" i="34"/>
  <c r="R53" i="39"/>
  <c r="I21" i="34"/>
  <c r="B23" i="21" l="1"/>
  <c r="B30" i="22"/>
  <c r="G25" i="34"/>
  <c r="R54" i="39"/>
  <c r="I22" i="34"/>
  <c r="P55" i="39"/>
  <c r="B24" i="21" l="1"/>
  <c r="B31" i="22"/>
  <c r="P56" i="39"/>
  <c r="I23" i="34" l="1"/>
  <c r="I24" i="34"/>
  <c r="I25" i="34" l="1"/>
  <c r="V33" i="31" l="1"/>
  <c r="W33" i="31"/>
  <c r="X33" i="31"/>
  <c r="Y33" i="31"/>
  <c r="Z33" i="31"/>
  <c r="AA33" i="31"/>
  <c r="V36" i="31"/>
  <c r="W36" i="31"/>
  <c r="X36" i="31"/>
  <c r="Y36" i="31"/>
  <c r="Z36" i="31"/>
  <c r="AA36" i="31"/>
  <c r="H33" i="31"/>
  <c r="H34" i="31"/>
  <c r="H35" i="31"/>
  <c r="H37" i="31"/>
  <c r="H38" i="31"/>
  <c r="H39" i="31"/>
  <c r="H40" i="31"/>
  <c r="H32" i="31"/>
  <c r="D11" i="23" l="1"/>
  <c r="D10" i="23"/>
  <c r="D9" i="23"/>
  <c r="D8" i="23"/>
  <c r="C7" i="20"/>
  <c r="C8" i="20"/>
  <c r="C9" i="20"/>
  <c r="C10" i="20"/>
  <c r="C11" i="20"/>
  <c r="C12" i="20"/>
  <c r="C13" i="20"/>
  <c r="C14" i="20"/>
  <c r="D49" i="20" l="1"/>
  <c r="A10" i="1"/>
  <c r="A8" i="22" l="1"/>
  <c r="B11" i="20"/>
  <c r="B8" i="20"/>
  <c r="B23" i="20"/>
  <c r="C23" i="20"/>
  <c r="B24" i="20"/>
  <c r="C24" i="20"/>
  <c r="B25" i="20"/>
  <c r="C25" i="20"/>
  <c r="C22" i="20"/>
  <c r="B22" i="20"/>
  <c r="B18" i="20"/>
  <c r="C18" i="20"/>
  <c r="B19" i="20"/>
  <c r="C19" i="20"/>
  <c r="B20" i="20"/>
  <c r="C20" i="20"/>
  <c r="C17" i="20"/>
  <c r="B17" i="20"/>
  <c r="B18" i="33"/>
  <c r="B19" i="33"/>
  <c r="B20" i="33"/>
  <c r="B13" i="33"/>
  <c r="B14" i="33"/>
  <c r="B15" i="33"/>
  <c r="B22" i="33"/>
  <c r="B17" i="33"/>
  <c r="B12" i="33"/>
  <c r="B13" i="3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5" i="11"/>
  <c r="H35" i="11" s="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30" i="20" l="1"/>
  <c r="B41" i="20"/>
  <c r="B42" i="20"/>
  <c r="B43" i="20"/>
  <c r="B44" i="20"/>
  <c r="B31" i="20"/>
  <c r="B45" i="20"/>
  <c r="B46" i="20"/>
  <c r="B32" i="20"/>
  <c r="B47" i="20"/>
  <c r="B33" i="20"/>
  <c r="B48" i="20"/>
  <c r="B34" i="20"/>
  <c r="B35" i="20"/>
  <c r="B36" i="20"/>
  <c r="B37" i="20"/>
  <c r="B38" i="20"/>
  <c r="B40" i="20"/>
  <c r="B39" i="20"/>
  <c r="B6" i="22"/>
  <c r="C6" i="22"/>
  <c r="B5" i="22"/>
  <c r="B9" i="33"/>
  <c r="B8" i="33"/>
  <c r="B4" i="31" l="1"/>
  <c r="B8" i="32"/>
  <c r="B9" i="32"/>
  <c r="B10" i="32"/>
  <c r="B11" i="32"/>
  <c r="B13" i="32"/>
  <c r="B14" i="32"/>
  <c r="B15" i="32"/>
  <c r="B16" i="32"/>
  <c r="B5" i="31"/>
  <c r="B6" i="31"/>
  <c r="B7" i="31"/>
  <c r="B8" i="31"/>
  <c r="B9" i="31"/>
  <c r="B10" i="31"/>
  <c r="B14" i="31"/>
  <c r="B15" i="31"/>
  <c r="D55" i="33"/>
  <c r="E34" i="11" s="1"/>
  <c r="D54" i="33"/>
  <c r="E33" i="11" s="1"/>
  <c r="D53" i="33"/>
  <c r="E32" i="11" s="1"/>
  <c r="D52" i="33"/>
  <c r="E31" i="11" s="1"/>
  <c r="D51" i="33"/>
  <c r="E30" i="11" s="1"/>
  <c r="D50" i="33"/>
  <c r="E29" i="11" s="1"/>
  <c r="D49" i="33"/>
  <c r="E28" i="11" s="1"/>
  <c r="D48" i="33"/>
  <c r="E27" i="11" s="1"/>
  <c r="D47" i="33"/>
  <c r="E26" i="11" s="1"/>
  <c r="D46" i="33"/>
  <c r="E25" i="11" s="1"/>
  <c r="D45" i="33"/>
  <c r="E24" i="11" s="1"/>
  <c r="D44" i="33"/>
  <c r="E23" i="11" s="1"/>
  <c r="D43" i="33"/>
  <c r="E22" i="11" s="1"/>
  <c r="D42" i="33"/>
  <c r="E21" i="11" s="1"/>
  <c r="D41" i="33"/>
  <c r="E20" i="11" s="1"/>
  <c r="D40" i="33"/>
  <c r="E19" i="11" s="1"/>
  <c r="D39" i="33"/>
  <c r="E18" i="11" s="1"/>
  <c r="D38" i="33"/>
  <c r="E17" i="11" s="1"/>
  <c r="D37" i="33"/>
  <c r="E16" i="11" s="1"/>
  <c r="D36" i="33"/>
  <c r="E15" i="11" s="1"/>
  <c r="D35" i="33"/>
  <c r="E14" i="11" s="1"/>
  <c r="D34" i="33"/>
  <c r="E13" i="11" s="1"/>
  <c r="D33" i="33"/>
  <c r="E12" i="11" s="1"/>
  <c r="D32" i="33"/>
  <c r="E11" i="11" s="1"/>
  <c r="D31" i="33"/>
  <c r="E10" i="11" s="1"/>
  <c r="D30" i="33"/>
  <c r="E9" i="11" s="1"/>
  <c r="D29" i="33"/>
  <c r="E8" i="11" s="1"/>
  <c r="D28" i="33"/>
  <c r="E7" i="11" s="1"/>
  <c r="D27" i="33"/>
  <c r="E6" i="11" s="1"/>
  <c r="E5" i="11"/>
  <c r="D49" i="32"/>
  <c r="D34" i="11" s="1"/>
  <c r="D48" i="32"/>
  <c r="D33" i="11" s="1"/>
  <c r="D47" i="32"/>
  <c r="D32" i="11" s="1"/>
  <c r="D46" i="32"/>
  <c r="D31" i="11" s="1"/>
  <c r="D45" i="32"/>
  <c r="D30" i="11" s="1"/>
  <c r="D44" i="32"/>
  <c r="D29" i="11" s="1"/>
  <c r="D43" i="32"/>
  <c r="D28" i="11" s="1"/>
  <c r="D42" i="32"/>
  <c r="D27" i="11" s="1"/>
  <c r="D41" i="32"/>
  <c r="D26" i="11" s="1"/>
  <c r="D40" i="32"/>
  <c r="D25" i="11" s="1"/>
  <c r="D39" i="32"/>
  <c r="D24" i="11" s="1"/>
  <c r="D38" i="32"/>
  <c r="D23" i="11" s="1"/>
  <c r="D37" i="32"/>
  <c r="D22" i="11" s="1"/>
  <c r="D36" i="32"/>
  <c r="D21" i="11" s="1"/>
  <c r="D35" i="32"/>
  <c r="D20" i="11" s="1"/>
  <c r="D34" i="32"/>
  <c r="D19" i="11" s="1"/>
  <c r="D33" i="32"/>
  <c r="D18" i="11" s="1"/>
  <c r="D32" i="32"/>
  <c r="D17" i="11" s="1"/>
  <c r="D31" i="32"/>
  <c r="D16" i="11" s="1"/>
  <c r="D30" i="32"/>
  <c r="D15" i="11" s="1"/>
  <c r="D29" i="32"/>
  <c r="D14" i="11" s="1"/>
  <c r="D28" i="32"/>
  <c r="D13" i="11" s="1"/>
  <c r="D27" i="32"/>
  <c r="D12" i="11" s="1"/>
  <c r="D26" i="32"/>
  <c r="D11" i="11" s="1"/>
  <c r="D25" i="32"/>
  <c r="D10" i="11" s="1"/>
  <c r="D24" i="32"/>
  <c r="D9" i="11" s="1"/>
  <c r="D23" i="32"/>
  <c r="D8" i="11" s="1"/>
  <c r="D22" i="32"/>
  <c r="D7" i="11" s="1"/>
  <c r="D21" i="32"/>
  <c r="D6" i="11" s="1"/>
  <c r="D20" i="32"/>
  <c r="D5" i="11" s="1"/>
  <c r="D39" i="31"/>
  <c r="C25" i="11" s="1"/>
  <c r="D40" i="31"/>
  <c r="C26" i="11" s="1"/>
  <c r="D41" i="31"/>
  <c r="C27" i="11" s="1"/>
  <c r="D42" i="31"/>
  <c r="C28" i="11" s="1"/>
  <c r="D43" i="31"/>
  <c r="C29" i="11" s="1"/>
  <c r="D44" i="31"/>
  <c r="C30" i="11" s="1"/>
  <c r="D45" i="31"/>
  <c r="C31" i="11" s="1"/>
  <c r="D46" i="31"/>
  <c r="C32" i="11" s="1"/>
  <c r="D47" i="31"/>
  <c r="C33" i="11" s="1"/>
  <c r="D48" i="31"/>
  <c r="C34" i="11" s="1"/>
  <c r="A8" i="2"/>
  <c r="C8" i="2" s="1"/>
  <c r="B5" i="28"/>
  <c r="B8" i="28"/>
  <c r="D5" i="3"/>
  <c r="B5" i="11" s="1"/>
  <c r="D6" i="3"/>
  <c r="B6" i="11" s="1"/>
  <c r="D7" i="3"/>
  <c r="B7" i="11" s="1"/>
  <c r="D8" i="3"/>
  <c r="B8" i="11" s="1"/>
  <c r="D9" i="3"/>
  <c r="B9" i="11" s="1"/>
  <c r="D10" i="3"/>
  <c r="B10" i="11" s="1"/>
  <c r="D11" i="3"/>
  <c r="B11" i="11" s="1"/>
  <c r="D12" i="3"/>
  <c r="B12" i="11" s="1"/>
  <c r="D13" i="3"/>
  <c r="B13" i="11" s="1"/>
  <c r="D14" i="3"/>
  <c r="B14" i="11" s="1"/>
  <c r="D15" i="3"/>
  <c r="B15" i="11" s="1"/>
  <c r="D16" i="3"/>
  <c r="B16" i="11" s="1"/>
  <c r="D17" i="3"/>
  <c r="B17" i="11" s="1"/>
  <c r="D18" i="3"/>
  <c r="B18" i="11" s="1"/>
  <c r="D19" i="3"/>
  <c r="B19" i="11" s="1"/>
  <c r="D20" i="3"/>
  <c r="B20" i="11" s="1"/>
  <c r="D21" i="3"/>
  <c r="B21" i="11" s="1"/>
  <c r="D22" i="3"/>
  <c r="B22" i="11" s="1"/>
  <c r="D23" i="3"/>
  <c r="B23" i="11" s="1"/>
  <c r="D24" i="3"/>
  <c r="B24" i="11" s="1"/>
  <c r="D25" i="3"/>
  <c r="B25" i="11" s="1"/>
  <c r="D26" i="3"/>
  <c r="B26" i="11" s="1"/>
  <c r="D27" i="3"/>
  <c r="B27" i="11" s="1"/>
  <c r="D28" i="3"/>
  <c r="B28" i="11" s="1"/>
  <c r="D29" i="3"/>
  <c r="B29" i="11" s="1"/>
  <c r="D30" i="3"/>
  <c r="B30" i="11" s="1"/>
  <c r="D31" i="3"/>
  <c r="B31" i="11" s="1"/>
  <c r="D32" i="3"/>
  <c r="B32" i="11" s="1"/>
  <c r="D33" i="3"/>
  <c r="B33" i="11" s="1"/>
  <c r="D34" i="3"/>
  <c r="B34" i="11" s="1"/>
  <c r="I21" i="11"/>
  <c r="J21" i="11"/>
  <c r="L21" i="11"/>
  <c r="M21" i="11"/>
  <c r="N21" i="11"/>
  <c r="O21" i="1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6" i="11"/>
  <c r="J6" i="11"/>
  <c r="L6" i="11"/>
  <c r="M6" i="11"/>
  <c r="N6" i="11"/>
  <c r="O6"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O4" i="11"/>
  <c r="O5" i="11"/>
  <c r="N4" i="11"/>
  <c r="N5" i="11"/>
  <c r="M4" i="11"/>
  <c r="M5" i="11"/>
  <c r="M35" i="11" s="1"/>
  <c r="L4" i="11"/>
  <c r="L5" i="11"/>
  <c r="J5" i="11"/>
  <c r="I5" i="11"/>
  <c r="N35" i="11" l="1"/>
  <c r="D35" i="11"/>
  <c r="O35" i="11"/>
  <c r="E35" i="11"/>
  <c r="L35" i="11"/>
  <c r="Q36" i="31"/>
  <c r="I35" i="11"/>
  <c r="J35" i="11"/>
  <c r="A5" i="11"/>
  <c r="J36" i="11"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18" i="23"/>
  <c r="B18" i="23" s="1"/>
  <c r="A12" i="22"/>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12" i="27"/>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5" i="2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29" i="20"/>
  <c r="O29" i="20" s="1"/>
  <c r="A20" i="32"/>
  <c r="A19" i="3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B40" i="1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3" i="27"/>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0" i="11"/>
  <c r="A6" i="34"/>
  <c r="A7" i="34" s="1"/>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9" i="2"/>
  <c r="B36" i="11" l="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I36" i="11"/>
  <c r="N36" i="11"/>
  <c r="O36" i="11"/>
  <c r="R29" i="20"/>
  <c r="E36" i="11"/>
  <c r="A19" i="23"/>
  <c r="B19" i="23" s="1"/>
  <c r="A30" i="20"/>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R58" i="20" s="1"/>
  <c r="C37" i="31"/>
  <c r="C29" i="31"/>
  <c r="C31" i="31"/>
  <c r="C33" i="31"/>
  <c r="C38" i="31"/>
  <c r="C23" i="31"/>
  <c r="C25" i="31"/>
  <c r="C30" i="31"/>
  <c r="C32" i="31"/>
  <c r="C34" i="31"/>
  <c r="C35" i="31"/>
  <c r="C20" i="31"/>
  <c r="C27" i="31"/>
  <c r="C21" i="31"/>
  <c r="C26" i="31"/>
  <c r="C28" i="31"/>
  <c r="C36" i="31"/>
  <c r="C22" i="31"/>
  <c r="C24" i="31"/>
  <c r="M36" i="11"/>
  <c r="L36" i="11"/>
  <c r="D36" i="11"/>
  <c r="H36" i="11"/>
  <c r="A41" i="11"/>
  <c r="A42" i="11" s="1"/>
  <c r="A43" i="11" s="1"/>
  <c r="A44" i="11" s="1"/>
  <c r="A45" i="11" s="1"/>
  <c r="A46" i="11" s="1"/>
  <c r="A47" i="11" s="1"/>
  <c r="A48" i="11" s="1"/>
  <c r="A49" i="11" s="1"/>
  <c r="A50" i="11" s="1"/>
  <c r="A51" i="11" s="1"/>
  <c r="A52" i="11" s="1"/>
  <c r="C40" i="11"/>
  <c r="Q29" i="20"/>
  <c r="P29" i="20"/>
  <c r="O31" i="20"/>
  <c r="A10" i="2"/>
  <c r="C10" i="2" s="1"/>
  <c r="A20" i="23" l="1"/>
  <c r="B20" i="23" s="1"/>
  <c r="AC41" i="31"/>
  <c r="B41" i="11"/>
  <c r="C41" i="11" s="1"/>
  <c r="D19" i="31"/>
  <c r="C5" i="11" s="1"/>
  <c r="D28" i="31"/>
  <c r="C14" i="11" s="1"/>
  <c r="D36" i="31"/>
  <c r="C22" i="11" s="1"/>
  <c r="D26" i="31"/>
  <c r="C12" i="11" s="1"/>
  <c r="D31" i="31"/>
  <c r="C17" i="11" s="1"/>
  <c r="D24" i="31"/>
  <c r="C10" i="11" s="1"/>
  <c r="D25" i="31"/>
  <c r="C11" i="11" s="1"/>
  <c r="D21" i="31"/>
  <c r="C7" i="11" s="1"/>
  <c r="D34" i="31"/>
  <c r="C20" i="11" s="1"/>
  <c r="D22" i="31"/>
  <c r="C8" i="11" s="1"/>
  <c r="D20" i="31"/>
  <c r="C6" i="11" s="1"/>
  <c r="D38" i="31"/>
  <c r="C24" i="11" s="1"/>
  <c r="D27" i="31"/>
  <c r="C13" i="11" s="1"/>
  <c r="D35" i="31"/>
  <c r="C21" i="11" s="1"/>
  <c r="D37" i="31"/>
  <c r="C23" i="11" s="1"/>
  <c r="D30" i="31"/>
  <c r="C16" i="11" s="1"/>
  <c r="D29" i="31"/>
  <c r="C15" i="11" s="1"/>
  <c r="D33" i="31"/>
  <c r="C19" i="11" s="1"/>
  <c r="D32" i="31"/>
  <c r="C18" i="11" s="1"/>
  <c r="D23" i="31"/>
  <c r="C9" i="11" s="1"/>
  <c r="B42" i="11"/>
  <c r="C42" i="11" s="1"/>
  <c r="K6" i="11"/>
  <c r="K5" i="11"/>
  <c r="A11" i="2"/>
  <c r="C11" i="2" s="1"/>
  <c r="B43" i="11" s="1"/>
  <c r="C43" i="11" s="1"/>
  <c r="Q30" i="20"/>
  <c r="R31" i="20"/>
  <c r="Q31" i="20"/>
  <c r="O30" i="20"/>
  <c r="R30" i="20"/>
  <c r="P30" i="20"/>
  <c r="P31" i="20"/>
  <c r="Q32" i="20"/>
  <c r="A53" i="11"/>
  <c r="A21" i="23" l="1"/>
  <c r="B21" i="23" s="1"/>
  <c r="C36" i="11"/>
  <c r="C35" i="11"/>
  <c r="A12" i="2"/>
  <c r="A13" i="2" s="1"/>
  <c r="A22" i="23"/>
  <c r="B22" i="23" s="1"/>
  <c r="P32" i="20"/>
  <c r="O33" i="20"/>
  <c r="O32" i="20"/>
  <c r="R32" i="20"/>
  <c r="A54" i="11"/>
  <c r="C12" i="2" l="1"/>
  <c r="A23" i="23"/>
  <c r="B23" i="23" s="1"/>
  <c r="K7" i="11"/>
  <c r="K8" i="11"/>
  <c r="O34" i="20"/>
  <c r="Q33" i="20"/>
  <c r="R33" i="20"/>
  <c r="P33" i="20"/>
  <c r="A14" i="2"/>
  <c r="C13" i="2"/>
  <c r="B45" i="11" s="1"/>
  <c r="C45" i="11" s="1"/>
  <c r="B44" i="11" l="1"/>
  <c r="C44" i="11" s="1"/>
  <c r="A24" i="23"/>
  <c r="B24" i="23" s="1"/>
  <c r="K9" i="11"/>
  <c r="P35" i="20"/>
  <c r="P34" i="20"/>
  <c r="Q34" i="20"/>
  <c r="R34" i="20"/>
  <c r="A15" i="2"/>
  <c r="C14" i="2"/>
  <c r="B46" i="11" s="1"/>
  <c r="C46" i="11" s="1"/>
  <c r="A25" i="23" l="1"/>
  <c r="B25" i="23" s="1"/>
  <c r="R36" i="20"/>
  <c r="O35" i="20"/>
  <c r="R35" i="20"/>
  <c r="Q35" i="20"/>
  <c r="Q36" i="20"/>
  <c r="A16" i="2"/>
  <c r="C15" i="2"/>
  <c r="B47" i="11" s="1"/>
  <c r="C47" i="11" s="1"/>
  <c r="A26" i="23" l="1"/>
  <c r="B26" i="23" s="1"/>
  <c r="K10" i="11"/>
  <c r="K11" i="11"/>
  <c r="P36" i="20"/>
  <c r="O36" i="20"/>
  <c r="O37" i="20"/>
  <c r="P37" i="20"/>
  <c r="R37" i="20"/>
  <c r="Q37" i="20"/>
  <c r="A17" i="2"/>
  <c r="C16" i="2"/>
  <c r="B48" i="11" s="1"/>
  <c r="C48" i="11" s="1"/>
  <c r="A27" i="23" l="1"/>
  <c r="B27" i="23" s="1"/>
  <c r="K12" i="11"/>
  <c r="O38" i="20"/>
  <c r="P38" i="20"/>
  <c r="Q38" i="20"/>
  <c r="R38" i="20"/>
  <c r="A18" i="2"/>
  <c r="C17" i="2"/>
  <c r="B49" i="11" s="1"/>
  <c r="C49" i="11" s="1"/>
  <c r="A28" i="23" l="1"/>
  <c r="B28" i="23" s="1"/>
  <c r="K13" i="11"/>
  <c r="O39" i="20"/>
  <c r="P39" i="20"/>
  <c r="Q39" i="20"/>
  <c r="R39" i="20"/>
  <c r="A19" i="2"/>
  <c r="C18" i="2"/>
  <c r="B50" i="11" s="1"/>
  <c r="C50" i="11" s="1"/>
  <c r="A29" i="23" l="1"/>
  <c r="B29" i="23" s="1"/>
  <c r="K14" i="11"/>
  <c r="O40" i="20"/>
  <c r="P40" i="20"/>
  <c r="Q40" i="20"/>
  <c r="R40" i="20"/>
  <c r="A20" i="2"/>
  <c r="C19" i="2"/>
  <c r="B51" i="11" s="1"/>
  <c r="C51" i="11" s="1"/>
  <c r="A30" i="23" l="1"/>
  <c r="B30" i="23" s="1"/>
  <c r="K15" i="11"/>
  <c r="O41" i="20"/>
  <c r="P41" i="20"/>
  <c r="R41" i="20"/>
  <c r="Q41" i="20"/>
  <c r="A21" i="2"/>
  <c r="C20" i="2"/>
  <c r="B52" i="11" s="1"/>
  <c r="C52" i="11" s="1"/>
  <c r="A31" i="23" l="1"/>
  <c r="B31" i="23" s="1"/>
  <c r="K16" i="11"/>
  <c r="O42" i="20"/>
  <c r="P42" i="20"/>
  <c r="Q42" i="20"/>
  <c r="R42" i="20"/>
  <c r="A22" i="2"/>
  <c r="C22" i="2" s="1"/>
  <c r="C21" i="2"/>
  <c r="B53" i="11" s="1"/>
  <c r="C53" i="11" s="1"/>
  <c r="D6" i="23" l="1"/>
  <c r="D12" i="23" s="1"/>
  <c r="B7" i="23"/>
  <c r="B54" i="11"/>
  <c r="A32" i="23"/>
  <c r="B32" i="23" s="1"/>
  <c r="K17" i="11"/>
  <c r="O43" i="20"/>
  <c r="P43" i="20"/>
  <c r="Q43" i="20"/>
  <c r="R43" i="20"/>
  <c r="C54" i="11" l="1"/>
  <c r="C55" i="11" s="1"/>
  <c r="B6" i="30" s="1"/>
  <c r="B55" i="11"/>
  <c r="A33" i="23"/>
  <c r="B33" i="23" s="1"/>
  <c r="K18" i="11"/>
  <c r="O44" i="20"/>
  <c r="P44" i="20"/>
  <c r="Q44" i="20"/>
  <c r="R44" i="20"/>
  <c r="A34" i="23" l="1"/>
  <c r="B34" i="23" s="1"/>
  <c r="K19" i="11"/>
  <c r="O45" i="20"/>
  <c r="P45" i="20"/>
  <c r="R45" i="20"/>
  <c r="Q45" i="20"/>
  <c r="A35" i="23" l="1"/>
  <c r="B35" i="23" s="1"/>
  <c r="K20" i="11"/>
  <c r="O46" i="20"/>
  <c r="P46" i="20"/>
  <c r="Q46" i="20"/>
  <c r="R46" i="20"/>
  <c r="A36" i="23" l="1"/>
  <c r="B36" i="23" s="1"/>
  <c r="K21" i="11"/>
  <c r="P47" i="20"/>
  <c r="O47" i="20"/>
  <c r="Q47" i="20"/>
  <c r="R47" i="20"/>
  <c r="A37" i="23" l="1"/>
  <c r="B37" i="23" s="1"/>
  <c r="K22" i="11"/>
  <c r="O48" i="20"/>
  <c r="P48" i="20"/>
  <c r="Q48" i="20"/>
  <c r="R48" i="20"/>
  <c r="A38" i="23" l="1"/>
  <c r="B38" i="23" s="1"/>
  <c r="K23" i="11"/>
  <c r="P49" i="20"/>
  <c r="R49" i="20"/>
  <c r="Q49" i="20"/>
  <c r="O49" i="20"/>
  <c r="A39" i="23" l="1"/>
  <c r="B39" i="23" s="1"/>
  <c r="K24" i="11"/>
  <c r="T49" i="20"/>
  <c r="G25" i="11" s="1"/>
  <c r="S49" i="20"/>
  <c r="F25" i="11" s="1"/>
  <c r="O50" i="20"/>
  <c r="P50" i="20"/>
  <c r="Q50" i="20"/>
  <c r="R50" i="20"/>
  <c r="A40" i="23" l="1"/>
  <c r="B40" i="23" s="1"/>
  <c r="K25" i="11"/>
  <c r="P25" i="11" s="1"/>
  <c r="Q25" i="11" s="1"/>
  <c r="S50" i="20"/>
  <c r="F26" i="11" s="1"/>
  <c r="T50" i="20"/>
  <c r="G26" i="11" s="1"/>
  <c r="O51" i="20"/>
  <c r="P51" i="20"/>
  <c r="Q51" i="20"/>
  <c r="R51" i="20"/>
  <c r="A41" i="23" l="1"/>
  <c r="B41" i="23" s="1"/>
  <c r="K26" i="11"/>
  <c r="P26" i="11" s="1"/>
  <c r="Q26" i="11" s="1"/>
  <c r="S51" i="20"/>
  <c r="F27" i="11" s="1"/>
  <c r="T51" i="20"/>
  <c r="G27" i="11" s="1"/>
  <c r="O52" i="20"/>
  <c r="P52" i="20"/>
  <c r="Q52" i="20"/>
  <c r="R52" i="20"/>
  <c r="A42" i="23" l="1"/>
  <c r="B42" i="23" s="1"/>
  <c r="K27" i="11"/>
  <c r="P27" i="11" s="1"/>
  <c r="Q27" i="11" s="1"/>
  <c r="T52" i="20"/>
  <c r="G28" i="11" s="1"/>
  <c r="S52" i="20"/>
  <c r="F28" i="11" s="1"/>
  <c r="O53" i="20"/>
  <c r="P53" i="20"/>
  <c r="R53" i="20"/>
  <c r="Q53" i="20"/>
  <c r="A43" i="23" l="1"/>
  <c r="B43" i="23" s="1"/>
  <c r="K28" i="11"/>
  <c r="P28" i="11" s="1"/>
  <c r="Q28" i="11" s="1"/>
  <c r="S53" i="20"/>
  <c r="F29" i="11" s="1"/>
  <c r="T53" i="20"/>
  <c r="G29" i="11" s="1"/>
  <c r="O54" i="20"/>
  <c r="P54" i="20"/>
  <c r="Q54" i="20"/>
  <c r="R54" i="20"/>
  <c r="A44" i="23" l="1"/>
  <c r="B44" i="23" s="1"/>
  <c r="K29" i="11"/>
  <c r="P29" i="11" s="1"/>
  <c r="Q29" i="11" s="1"/>
  <c r="S54" i="20"/>
  <c r="F30" i="11" s="1"/>
  <c r="T54" i="20"/>
  <c r="G30" i="11" s="1"/>
  <c r="O55" i="20"/>
  <c r="P55" i="20"/>
  <c r="Q55" i="20"/>
  <c r="R55" i="20"/>
  <c r="A45" i="23" l="1"/>
  <c r="B45" i="23" s="1"/>
  <c r="K30" i="11"/>
  <c r="P30" i="11" s="1"/>
  <c r="Q30" i="11" s="1"/>
  <c r="S55" i="20"/>
  <c r="F31" i="11" s="1"/>
  <c r="T55" i="20"/>
  <c r="G31" i="11" s="1"/>
  <c r="O56" i="20"/>
  <c r="P56" i="20"/>
  <c r="Q56" i="20"/>
  <c r="R56" i="20"/>
  <c r="A46" i="23" l="1"/>
  <c r="B46" i="23" s="1"/>
  <c r="K31" i="11"/>
  <c r="P31" i="11" s="1"/>
  <c r="Q31" i="11" s="1"/>
  <c r="S56" i="20"/>
  <c r="F32" i="11" s="1"/>
  <c r="T56" i="20"/>
  <c r="G32" i="11" s="1"/>
  <c r="O57" i="20"/>
  <c r="P57" i="20"/>
  <c r="R57" i="20"/>
  <c r="Q57" i="20"/>
  <c r="A47" i="23" l="1"/>
  <c r="B47" i="23" s="1"/>
  <c r="K32" i="11"/>
  <c r="P32" i="11" s="1"/>
  <c r="Q32" i="11" s="1"/>
  <c r="S57" i="20"/>
  <c r="F33" i="11" s="1"/>
  <c r="T57" i="20"/>
  <c r="G33" i="11" s="1"/>
  <c r="O58" i="20"/>
  <c r="P58" i="20"/>
  <c r="Q58" i="20"/>
  <c r="K33" i="11" l="1"/>
  <c r="P33" i="11" s="1"/>
  <c r="Q33" i="11" s="1"/>
  <c r="S58" i="20"/>
  <c r="F34" i="11" s="1"/>
  <c r="T58" i="20"/>
  <c r="G34" i="11" s="1"/>
  <c r="K34" i="11" l="1"/>
  <c r="K36" i="11" l="1"/>
  <c r="K35" i="11"/>
  <c r="P34" i="11"/>
  <c r="Q34" i="11" l="1"/>
  <c r="E5" i="40" l="1"/>
  <c r="W34" i="39" s="1"/>
  <c r="Y35" i="39" l="1"/>
  <c r="Y36" i="39"/>
  <c r="Y56" i="39"/>
  <c r="Y37" i="39"/>
  <c r="Y47" i="39"/>
  <c r="Y57" i="39"/>
  <c r="Y49" i="39"/>
  <c r="Y50" i="39"/>
  <c r="Y41" i="39"/>
  <c r="Y42" i="39"/>
  <c r="Y54" i="39"/>
  <c r="Y46" i="39"/>
  <c r="Y51" i="39"/>
  <c r="Y43" i="39"/>
  <c r="Y34" i="39"/>
  <c r="Y55" i="39"/>
  <c r="Y38" i="39"/>
  <c r="Y48" i="39"/>
  <c r="Y39" i="39"/>
  <c r="Y40" i="39"/>
  <c r="Y52" i="39"/>
  <c r="Y53" i="39"/>
  <c r="Y44" i="39"/>
  <c r="Y45" i="39"/>
  <c r="W36" i="39"/>
  <c r="C7" i="34" s="1"/>
  <c r="E30" i="20" s="1"/>
  <c r="W37" i="39"/>
  <c r="C8" i="34" s="1"/>
  <c r="E31" i="20" s="1"/>
  <c r="W35" i="39"/>
  <c r="C6" i="34" s="1"/>
  <c r="W38" i="39"/>
  <c r="C9" i="34" s="1"/>
  <c r="E32" i="20" s="1"/>
  <c r="W40" i="39"/>
  <c r="C11" i="34" s="1"/>
  <c r="E34" i="20" s="1"/>
  <c r="W39" i="39"/>
  <c r="C10" i="34" s="1"/>
  <c r="E33" i="20" s="1"/>
  <c r="W57" i="39"/>
  <c r="W42" i="39"/>
  <c r="C13" i="34" s="1"/>
  <c r="E36" i="20" s="1"/>
  <c r="W41" i="39"/>
  <c r="C12" i="34" s="1"/>
  <c r="E35" i="20" s="1"/>
  <c r="W43" i="39"/>
  <c r="C14" i="34" s="1"/>
  <c r="E37" i="20" s="1"/>
  <c r="W44" i="39"/>
  <c r="C15" i="34" s="1"/>
  <c r="E38" i="20" s="1"/>
  <c r="W45" i="39"/>
  <c r="C16" i="34" s="1"/>
  <c r="E39" i="20" s="1"/>
  <c r="W46" i="39"/>
  <c r="C17" i="34" s="1"/>
  <c r="E40" i="20" s="1"/>
  <c r="W47" i="39"/>
  <c r="C18" i="34" s="1"/>
  <c r="E41" i="20" s="1"/>
  <c r="W48" i="39"/>
  <c r="C19" i="34" s="1"/>
  <c r="E42" i="20" s="1"/>
  <c r="W49" i="39"/>
  <c r="C20" i="34" s="1"/>
  <c r="E43" i="20" s="1"/>
  <c r="W50" i="39"/>
  <c r="C21" i="34" s="1"/>
  <c r="E44" i="20" s="1"/>
  <c r="W51" i="39"/>
  <c r="C22" i="34" s="1"/>
  <c r="E45" i="20" s="1"/>
  <c r="W52" i="39"/>
  <c r="C23" i="34" s="1"/>
  <c r="E46" i="20" s="1"/>
  <c r="W53" i="39"/>
  <c r="C24" i="34" s="1"/>
  <c r="E47" i="20" s="1"/>
  <c r="W54" i="39"/>
  <c r="C25" i="34" s="1"/>
  <c r="E48" i="20" s="1"/>
  <c r="W55" i="39"/>
  <c r="W56" i="39"/>
  <c r="E38" i="40"/>
  <c r="O37" i="42"/>
  <c r="E36" i="40"/>
  <c r="C29" i="20" l="1"/>
  <c r="E29" i="20"/>
  <c r="C34" i="20"/>
  <c r="S34" i="20" s="1"/>
  <c r="F10" i="11" s="1"/>
  <c r="T48" i="20"/>
  <c r="C48" i="20"/>
  <c r="S48" i="20" s="1"/>
  <c r="F24" i="11" s="1"/>
  <c r="C32" i="20"/>
  <c r="S32" i="20" s="1"/>
  <c r="F8" i="11" s="1"/>
  <c r="C47" i="20"/>
  <c r="S47" i="20" s="1"/>
  <c r="F23" i="11" s="1"/>
  <c r="C45" i="20"/>
  <c r="S45" i="20" s="1"/>
  <c r="F21" i="11" s="1"/>
  <c r="C36" i="20"/>
  <c r="S36" i="20" s="1"/>
  <c r="F12" i="11" s="1"/>
  <c r="T44" i="20"/>
  <c r="G20" i="11" s="1"/>
  <c r="C44" i="20"/>
  <c r="S44" i="20" s="1"/>
  <c r="F20" i="11" s="1"/>
  <c r="T29" i="20"/>
  <c r="S29" i="20"/>
  <c r="F5" i="11" s="1"/>
  <c r="C42" i="20"/>
  <c r="S42" i="20" s="1"/>
  <c r="F18" i="11" s="1"/>
  <c r="C33" i="20"/>
  <c r="S33" i="20" s="1"/>
  <c r="F9" i="11" s="1"/>
  <c r="C39" i="20"/>
  <c r="S39" i="20" s="1"/>
  <c r="F15" i="11" s="1"/>
  <c r="C43" i="20"/>
  <c r="S43" i="20" s="1"/>
  <c r="F19" i="11" s="1"/>
  <c r="C38" i="20"/>
  <c r="S38" i="20" s="1"/>
  <c r="F14" i="11" s="1"/>
  <c r="C46" i="20"/>
  <c r="S46" i="20" s="1"/>
  <c r="F22" i="11" s="1"/>
  <c r="C30" i="20"/>
  <c r="S30" i="20" s="1"/>
  <c r="F6" i="11" s="1"/>
  <c r="C40" i="20"/>
  <c r="S40" i="20" s="1"/>
  <c r="F16" i="11" s="1"/>
  <c r="C37" i="20"/>
  <c r="S37" i="20" s="1"/>
  <c r="F13" i="11" s="1"/>
  <c r="C31" i="20"/>
  <c r="S31" i="20" s="1"/>
  <c r="F7" i="11" s="1"/>
  <c r="C41" i="20"/>
  <c r="S41" i="20" s="1"/>
  <c r="F17" i="11" s="1"/>
  <c r="C35" i="20"/>
  <c r="S35" i="20" s="1"/>
  <c r="F11" i="11" s="1"/>
  <c r="AA53" i="39"/>
  <c r="AA45" i="39"/>
  <c r="AA54" i="39"/>
  <c r="AA51" i="39"/>
  <c r="T42" i="20" s="1"/>
  <c r="G18" i="11" s="1"/>
  <c r="P18" i="11" s="1"/>
  <c r="Q18" i="11" s="1"/>
  <c r="AA35" i="39"/>
  <c r="AA37" i="39"/>
  <c r="AA34" i="39"/>
  <c r="AA55" i="39"/>
  <c r="T46" i="20" s="1"/>
  <c r="G22" i="11" s="1"/>
  <c r="AA49" i="39"/>
  <c r="AA48" i="39"/>
  <c r="T39" i="20" s="1"/>
  <c r="G15" i="11" s="1"/>
  <c r="AA36" i="39"/>
  <c r="AA52" i="39"/>
  <c r="T43" i="20" s="1"/>
  <c r="G19" i="11" s="1"/>
  <c r="AA50" i="39"/>
  <c r="T41" i="20" s="1"/>
  <c r="G17" i="11" s="1"/>
  <c r="AA38" i="39"/>
  <c r="AA46" i="39"/>
  <c r="T37" i="20" s="1"/>
  <c r="G13" i="11" s="1"/>
  <c r="AA47" i="39"/>
  <c r="AA40" i="39"/>
  <c r="T31" i="20" s="1"/>
  <c r="G7" i="11" s="1"/>
  <c r="AA44" i="39"/>
  <c r="T35" i="20" s="1"/>
  <c r="G11" i="11" s="1"/>
  <c r="AA43" i="39"/>
  <c r="T34" i="20" s="1"/>
  <c r="G10" i="11" s="1"/>
  <c r="P10" i="11" s="1"/>
  <c r="Q10" i="11" s="1"/>
  <c r="AA41" i="39"/>
  <c r="T32" i="20" s="1"/>
  <c r="G8" i="11" s="1"/>
  <c r="P8" i="11" s="1"/>
  <c r="Q8" i="11" s="1"/>
  <c r="AA42" i="39"/>
  <c r="T33" i="20" s="1"/>
  <c r="G9" i="11" s="1"/>
  <c r="AA57" i="39"/>
  <c r="G24" i="11" s="1"/>
  <c r="AA39" i="39"/>
  <c r="AA56" i="39"/>
  <c r="R37" i="42"/>
  <c r="T37" i="42" s="1"/>
  <c r="Q37" i="42"/>
  <c r="P22" i="11" l="1"/>
  <c r="Q22" i="11" s="1"/>
  <c r="F36" i="11"/>
  <c r="P7" i="11"/>
  <c r="Q7" i="11" s="1"/>
  <c r="P9" i="11"/>
  <c r="Q9" i="11" s="1"/>
  <c r="P19" i="11"/>
  <c r="Q19" i="11" s="1"/>
  <c r="P11" i="11"/>
  <c r="Q11" i="11" s="1"/>
  <c r="P20" i="11"/>
  <c r="Q20" i="11" s="1"/>
  <c r="P13" i="11"/>
  <c r="Q13" i="11" s="1"/>
  <c r="T30" i="20"/>
  <c r="G6" i="11" s="1"/>
  <c r="P6" i="11" s="1"/>
  <c r="Q6" i="11" s="1"/>
  <c r="P15" i="11"/>
  <c r="Q15" i="11" s="1"/>
  <c r="T36" i="20"/>
  <c r="G12" i="11" s="1"/>
  <c r="P12" i="11" s="1"/>
  <c r="Q12" i="11" s="1"/>
  <c r="T47" i="20"/>
  <c r="G23" i="11" s="1"/>
  <c r="P23" i="11" s="1"/>
  <c r="Q23" i="11" s="1"/>
  <c r="T45" i="20"/>
  <c r="G21" i="11" s="1"/>
  <c r="P21" i="11" s="1"/>
  <c r="Q21" i="11" s="1"/>
  <c r="P17" i="11"/>
  <c r="Q17" i="11" s="1"/>
  <c r="T38" i="20"/>
  <c r="G14" i="11" s="1"/>
  <c r="P14" i="11" s="1"/>
  <c r="Q14" i="11" s="1"/>
  <c r="F35" i="11"/>
  <c r="G5" i="11"/>
  <c r="T40" i="20"/>
  <c r="G16" i="11" s="1"/>
  <c r="P16" i="11" s="1"/>
  <c r="Q16" i="11" s="1"/>
  <c r="P24" i="11"/>
  <c r="Q24" i="11" s="1"/>
  <c r="P5" i="11" l="1"/>
  <c r="G36" i="11"/>
  <c r="G35" i="11"/>
  <c r="Q5" i="11"/>
  <c r="Q36" i="11" l="1"/>
  <c r="P35" i="11"/>
  <c r="P36" i="11"/>
  <c r="B7" i="30" l="1"/>
  <c r="B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tc={954C2B13-42F6-41CF-B3EA-AA43626CF3F1}</author>
  </authors>
  <commentList>
    <comment ref="B36" authorId="0" shapeId="0" xr:uid="{954C2B13-42F6-41CF-B3EA-AA43626CF3F1}">
      <text>
        <t>[Threaded comment]
Your version of Excel allows you to read this threaded comment; however, any edits to it will get removed if the file is opened in a newer version of Excel. Learn more: https://go.microsoft.com/fwlink/?linkid=870924
Comment:
    Complete construction estimate?</t>
      </text>
    </comment>
  </commentList>
</comments>
</file>

<file path=xl/sharedStrings.xml><?xml version="1.0" encoding="utf-8"?>
<sst xmlns="http://schemas.openxmlformats.org/spreadsheetml/2006/main" count="1388" uniqueCount="830">
  <si>
    <t>USDOT Benefit-Cost Analysis Spreadsheet Template</t>
  </si>
  <si>
    <t>---------------------------------------------------------------------------------------------------------------------------------------------------------------------------------------------------------------</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</si>
  <si>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</si>
  <si>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</si>
  <si>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t>
  </si>
  <si>
    <t>What You Need</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</si>
  <si>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</si>
  <si>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</si>
  <si>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</si>
  <si>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t>Notes</t>
  </si>
  <si>
    <r>
      <t xml:space="preserve">• </t>
    </r>
    <r>
      <rPr>
        <b/>
        <sz val="11"/>
        <rFont val="Calibri"/>
        <family val="2"/>
        <scheme val="minor"/>
      </rPr>
      <t>Input, Optional, and No-Input cells.</t>
    </r>
  </si>
  <si>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</si>
  <si>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</si>
  <si>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</si>
  <si>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</si>
  <si>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r>
      <t xml:space="preserve">•  	</t>
    </r>
    <r>
      <rPr>
        <b/>
        <sz val="11"/>
        <rFont val="Calibri"/>
        <family val="2"/>
        <scheme val="minor"/>
      </rPr>
      <t xml:space="preserve">Deleting a Tab. </t>
    </r>
    <r>
      <rPr>
        <sz val="11"/>
        <rFont val="Calibri"/>
        <family val="2"/>
        <scheme val="minor"/>
      </rPr>
      <t>Do not delete tabs. If a tab is not needed, simply skip it.</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</si>
  <si>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</si>
  <si>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Model Base Year</t>
  </si>
  <si>
    <t>Model Date</t>
  </si>
  <si>
    <t>Project Information</t>
  </si>
  <si>
    <t>-</t>
  </si>
  <si>
    <t>Table 1. Project Information</t>
  </si>
  <si>
    <t>Variable</t>
  </si>
  <si>
    <t>Value</t>
  </si>
  <si>
    <t>First Year of Project Development/Construction</t>
  </si>
  <si>
    <t>Length of Construction/Project Development Period (in Years)</t>
  </si>
  <si>
    <t>Opening Year</t>
  </si>
  <si>
    <t>Operational Period Length</t>
  </si>
  <si>
    <t>Final Analysis Year</t>
  </si>
  <si>
    <t>Parameter Values</t>
  </si>
  <si>
    <t>This sheet provides a copy of parameter and monetization values from Appendix A of the USDOT BCA Guidance, and is provided for convenience.</t>
  </si>
  <si>
    <t>Source: USDOT BCA Guidance (Appendix A)</t>
  </si>
  <si>
    <t>Table A-1a: Value of Reduced Fatalities, Injuries, and Crashes</t>
  </si>
  <si>
    <t>KABCO Level</t>
  </si>
  <si>
    <t>Monetized Value (2023 $)</t>
  </si>
  <si>
    <t>O - No Injury</t>
  </si>
  <si>
    <t>C - Possible Injury</t>
  </si>
  <si>
    <t>B - Non-incapacitating</t>
  </si>
  <si>
    <t>A - Incapacitating</t>
  </si>
  <si>
    <t>K - Killed</t>
  </si>
  <si>
    <t>U - Injured (Severity Unknown)</t>
  </si>
  <si>
    <t>Table A-1b: Value of Reduced Fatal, Injury, and PDO Crashes</t>
  </si>
  <si>
    <t>Crash Type</t>
  </si>
  <si>
    <t>PDO Crash</t>
  </si>
  <si>
    <t>Injury Crash</t>
  </si>
  <si>
    <t>Fatal Crash</t>
  </si>
  <si>
    <t>Table A-2: Value of Travel Time Savings</t>
  </si>
  <si>
    <t>Recommended Hourly Values of Travel Time Savings</t>
  </si>
  <si>
    <t>(2023 $ per person-hour)</t>
  </si>
  <si>
    <t>Category</t>
  </si>
  <si>
    <t>Hourly Value</t>
  </si>
  <si>
    <t>General Travel Time</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</si>
  <si>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</si>
  <si>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</si>
  <si>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</si>
  <si>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</si>
  <si>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</si>
  <si>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Truck Drivers</t>
  </si>
  <si>
    <t>Bus Drivers</t>
  </si>
  <si>
    <t>Transit Rail Operators</t>
  </si>
  <si>
    <t>Locomotive Engineers</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</si>
  <si>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</si>
  <si>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2)  Weighted average based on a typical distribution of local travel by surface modes (88.2% personal, 11.8% business). Applicants should apply their own distribution of business versus personal travel where such information is available.</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</si>
  <si>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</si>
  <si>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4)  Should be applied only when actions affect those elements of travel time.</t>
  </si>
  <si>
    <t>5)  Includes only the value of time for the operator, not passengers or freight.</t>
  </si>
  <si>
    <t>Table A-3: Average Vehicle Occupancy Rates for Highway Passenger Vehicles</t>
  </si>
  <si>
    <t>Vehicle Type</t>
  </si>
  <si>
    <t>Average Occupancy</t>
  </si>
  <si>
    <r>
      <t>Passenger Vehicles (Weekday Peak)</t>
    </r>
    <r>
      <rPr>
        <vertAlign val="superscript"/>
        <sz val="11"/>
        <color rgb="FF1F497D"/>
        <rFont val="Times New Roman"/>
        <family val="1"/>
      </rPr>
      <t>1</t>
    </r>
  </si>
  <si>
    <t>Passenger Vehicles (Weekday Off-Peak)</t>
  </si>
  <si>
    <t>Passenger Vehicles (Weekend)</t>
  </si>
  <si>
    <t>Passenger Vehicles (All Travel)</t>
  </si>
  <si>
    <t>1) Weekday peak period values calculated for trips starting between 6:00 AM-8:59 AM and 4:00 PM-6:59 PM.</t>
  </si>
  <si>
    <t>Table A-4: Vehicle Operating Costs</t>
  </si>
  <si>
    <t>Recommended Value per Mile (2023 $)</t>
  </si>
  <si>
    <r>
      <t>Light Duty Vehicles</t>
    </r>
    <r>
      <rPr>
        <vertAlign val="superscript"/>
        <sz val="11"/>
        <color theme="1"/>
        <rFont val="Times New Roman"/>
        <family val="1"/>
      </rPr>
      <t>1</t>
    </r>
  </si>
  <si>
    <r>
      <t>Commercial Trucks</t>
    </r>
    <r>
      <rPr>
        <vertAlign val="superscript"/>
        <sz val="11"/>
        <color theme="1"/>
        <rFont val="Times New Roman"/>
        <family val="1"/>
      </rPr>
      <t>2</t>
    </r>
  </si>
  <si>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</si>
  <si>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</si>
  <si>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Table A-5: Train Operating and Social Costs</t>
  </si>
  <si>
    <t>Recommended Value per Hour (2023 $)</t>
  </si>
  <si>
    <t>Train and Movement Type</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</si>
  <si>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</si>
  <si>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</si>
  <si>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</si>
  <si>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Idling</t>
  </si>
  <si>
    <t>Freight Train</t>
  </si>
  <si>
    <t>Commuter Train</t>
  </si>
  <si>
    <t>Amtrak Long-Distance</t>
  </si>
  <si>
    <t>Amtrak State-Supported</t>
  </si>
  <si>
    <t>Hauling</t>
  </si>
  <si>
    <t>All Movements</t>
  </si>
  <si>
    <t>Freight Railcar</t>
  </si>
  <si>
    <t>*</t>
  </si>
  <si>
    <t>1)  Includes fuel cost, depreciation, and labor cost which should be discounted at 3.1 percent.</t>
  </si>
  <si>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</si>
  <si>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Table A-6: Damage Costs for Emissions per Metric Ton*</t>
  </si>
  <si>
    <t>Emission Type</t>
  </si>
  <si>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</si>
  <si>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</si>
  <si>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</si>
  <si>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</si>
  <si>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*Applicants should carefully note whether their emissions data is reported in short tons or metric tons. A metric ton is equal to 1.1023 short tons.</t>
  </si>
  <si>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</si>
  <si>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t>Table A-7: Inflation Adjustment Values</t>
  </si>
  <si>
    <t>Base Year of Nominal Dollar</t>
  </si>
  <si>
    <t>Multiplier to Adjust to Real 2023 $</t>
  </si>
  <si>
    <t>Table A-8: Pedestrian Facility Improvements Revealed Preference Values</t>
  </si>
  <si>
    <t>Improvement Type</t>
  </si>
  <si>
    <r>
      <t>Recommended Value per Person-Mile Walked (2023 $)</t>
    </r>
    <r>
      <rPr>
        <vertAlign val="superscript"/>
        <sz val="11"/>
        <color theme="0"/>
        <rFont val="Times New Roman"/>
        <family val="1"/>
      </rPr>
      <t>1</t>
    </r>
  </si>
  <si>
    <r>
      <t>Expand Sidewalk (per foot of added width)</t>
    </r>
    <r>
      <rPr>
        <vertAlign val="superscript"/>
        <sz val="11"/>
        <color rgb="FF1F497D"/>
        <rFont val="Times New Roman"/>
        <family val="1"/>
      </rPr>
      <t>2</t>
    </r>
  </si>
  <si>
    <t>Reducing Upslope by 1%</t>
  </si>
  <si>
    <t>Reducing Traffic Speed by 1 mph (for speeds ≤45 mph)</t>
  </si>
  <si>
    <t>Reducing Traffic Volume by 1 Vehicle per Hour (for ADT &lt;55,000)</t>
  </si>
  <si>
    <r>
      <t>Recommended Value per Use (2023 $)</t>
    </r>
    <r>
      <rPr>
        <vertAlign val="superscript"/>
        <sz val="11"/>
        <color theme="0"/>
        <rFont val="Times New Roman"/>
        <family val="1"/>
      </rPr>
      <t>1</t>
    </r>
  </si>
  <si>
    <t>Install Marked-Crosswalk on Roadway with Volumes ≥10,000 Vehicle per Day</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</si>
  <si>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</si>
  <si>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</si>
  <si>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</si>
  <si>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</si>
  <si>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</si>
  <si>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r>
      <t>Recommended Value per Cycling Mile (2023 $)</t>
    </r>
    <r>
      <rPr>
        <vertAlign val="superscript"/>
        <sz val="11"/>
        <color theme="0"/>
        <rFont val="Times New Roman"/>
        <family val="1"/>
      </rPr>
      <t>1</t>
    </r>
  </si>
  <si>
    <t>Cycling Path with At-Grade Crossings</t>
  </si>
  <si>
    <r>
      <t>Cycling Path with no At-Grade Crossings</t>
    </r>
    <r>
      <rPr>
        <vertAlign val="superscript"/>
        <sz val="11"/>
        <color rgb="FF1F497D"/>
        <rFont val="Times New Roman"/>
        <family val="1"/>
      </rPr>
      <t>2</t>
    </r>
  </si>
  <si>
    <t>Dedicated Cycling Lane</t>
  </si>
  <si>
    <t>Cycling Boulevard/“Sharrow”</t>
  </si>
  <si>
    <t>Separated Cycle Track</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</si>
  <si>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</si>
  <si>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t>2) The value for a cycling path with no at-grade intersections is higher due to an assumption of higher average speed of 12.1 miles per hour, resulting in less time on the facility, which lowers journey quality benefits but increases travel time savings.</t>
  </si>
  <si>
    <t>Table A-10: Transit Facility Amenity Revealed and Stated Preference Values</t>
  </si>
  <si>
    <t>Attribute Type</t>
  </si>
  <si>
    <t>Recommended Value per User Trip (2023 $)</t>
  </si>
  <si>
    <t>Bus Stop</t>
  </si>
  <si>
    <t>Light Rail /Streetcar Stop</t>
  </si>
  <si>
    <t>Rail Station</t>
  </si>
  <si>
    <t>Clocks</t>
  </si>
  <si>
    <t>Electronic Real-Time Information Displays</t>
  </si>
  <si>
    <t>Information /Emergency Button</t>
  </si>
  <si>
    <t>PA System</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</si>
  <si>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</si>
  <si>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</si>
  <si>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t>Restroom Availability</t>
  </si>
  <si>
    <t>Retail/Food Outlet Availability</t>
  </si>
  <si>
    <t>Staff Availability</t>
  </si>
  <si>
    <t>Step-Free Access to Station/Stop</t>
  </si>
  <si>
    <t>Step-Free Access to Vehicle</t>
  </si>
  <si>
    <t>Surveillance Cameras</t>
  </si>
  <si>
    <r>
      <t>Temperature Controlled Environment</t>
    </r>
    <r>
      <rPr>
        <vertAlign val="superscript"/>
        <sz val="11"/>
        <color rgb="FF1F497D"/>
        <rFont val="Times New Roman"/>
        <family val="1"/>
      </rPr>
      <t>1</t>
    </r>
  </si>
  <si>
    <t>Ticket Machines</t>
  </si>
  <si>
    <t>Timetables</t>
  </si>
  <si>
    <t>Bike Facilities</t>
  </si>
  <si>
    <t>Car Access Facilities</t>
  </si>
  <si>
    <t>Elevator</t>
  </si>
  <si>
    <t>Escalators</t>
  </si>
  <si>
    <t>On-Site Ticket Office</t>
  </si>
  <si>
    <t>Taxi Pickup/Dropoff</t>
  </si>
  <si>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</si>
  <si>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</si>
  <si>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</si>
  <si>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Bus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</si>
  <si>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</si>
  <si>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</si>
  <si>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</si>
  <si>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</si>
  <si>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</si>
  <si>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</si>
  <si>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</si>
  <si>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</si>
  <si>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</si>
  <si>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</si>
  <si>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</si>
  <si>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</si>
  <si>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</si>
  <si>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</si>
  <si>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t>Streetcar or On-Street Light Rail Transit</t>
  </si>
  <si>
    <t>Off-Street Light Rail Transit</t>
  </si>
  <si>
    <t>Heavy Rail</t>
  </si>
  <si>
    <t>Commuter Rail</t>
  </si>
  <si>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</si>
  <si>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</si>
  <si>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</si>
  <si>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</si>
  <si>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Table A-13: Mortality Reduction Benefits of Induced Active Transportation Values</t>
  </si>
  <si>
    <t>Mode</t>
  </si>
  <si>
    <r>
      <t>Applicable Age Range</t>
    </r>
    <r>
      <rPr>
        <vertAlign val="superscript"/>
        <sz val="11"/>
        <color theme="0"/>
        <rFont val="Calibri"/>
        <family val="2"/>
        <scheme val="minor"/>
      </rPr>
      <t>3</t>
    </r>
  </si>
  <si>
    <r>
      <t>Recommended Value per Induced Trip (2023 $)</t>
    </r>
    <r>
      <rPr>
        <vertAlign val="superscript"/>
        <sz val="11"/>
        <color theme="0"/>
        <rFont val="Calibri"/>
        <family val="2"/>
        <scheme val="minor"/>
      </rPr>
      <t>4</t>
    </r>
  </si>
  <si>
    <r>
      <t>Walking</t>
    </r>
    <r>
      <rPr>
        <vertAlign val="superscript"/>
        <sz val="11"/>
        <color theme="1"/>
        <rFont val="Calibri"/>
        <family val="2"/>
        <scheme val="minor"/>
      </rPr>
      <t>1</t>
    </r>
  </si>
  <si>
    <t>Ages 20-74</t>
  </si>
  <si>
    <r>
      <t>Cycling</t>
    </r>
    <r>
      <rPr>
        <vertAlign val="superscript"/>
        <sz val="11"/>
        <color theme="1"/>
        <rFont val="Calibri"/>
        <family val="2"/>
        <scheme val="minor"/>
      </rPr>
      <t>2</t>
    </r>
  </si>
  <si>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</si>
  <si>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</si>
  <si>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</si>
  <si>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</si>
  <si>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</si>
  <si>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Table A-14: External Highway Use Costs</t>
  </si>
  <si>
    <t>Vehicle Type and Location</t>
  </si>
  <si>
    <r>
      <t>Recommended Value of Cost per Vehicle Mile Traveled (2023 $)</t>
    </r>
    <r>
      <rPr>
        <vertAlign val="superscript"/>
        <sz val="11"/>
        <color theme="0"/>
        <rFont val="Times New Roman"/>
        <family val="1"/>
      </rPr>
      <t>1</t>
    </r>
  </si>
  <si>
    <t>Congestion</t>
  </si>
  <si>
    <t>Noise</t>
  </si>
  <si>
    <t>Safety Cost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</si>
  <si>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</si>
  <si>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</si>
  <si>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</si>
  <si>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</si>
  <si>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</si>
  <si>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</si>
  <si>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</si>
  <si>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</si>
  <si>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</si>
  <si>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</si>
  <si>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</si>
  <si>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</si>
  <si>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</si>
  <si>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User Volumes</t>
  </si>
  <si>
    <t>Table 1. Volumes by Mode</t>
  </si>
  <si>
    <t>Trucks</t>
  </si>
  <si>
    <t>Pedestrians</t>
  </si>
  <si>
    <t>Cyclists</t>
  </si>
  <si>
    <t>Trains</t>
  </si>
  <si>
    <t>[Other Modes]</t>
  </si>
  <si>
    <t>Workspace - Applicants may create new sheets for more space</t>
  </si>
  <si>
    <t>Year</t>
  </si>
  <si>
    <t>No Build</t>
  </si>
  <si>
    <t>Build</t>
  </si>
  <si>
    <t>Capital Costs</t>
  </si>
  <si>
    <t>Annual Inflation Rate Used to Convert Constant Dollars to Year-of-Expenditure Dollars</t>
  </si>
  <si>
    <t>Previously Incurred Costs (in 2023$)</t>
  </si>
  <si>
    <t>Table 1. Capital Costs</t>
  </si>
  <si>
    <t>Capital Cost in Year-of-Expenditure Dollars</t>
  </si>
  <si>
    <t>Cost in Constant Dollars (2023 $)</t>
  </si>
  <si>
    <t>Operations and Maintenance Costs</t>
  </si>
  <si>
    <t xml:space="preserve">All values entered into input cells in this sheet should be entered as undiscounted 2023 dollar values. The template will automatically apply discounting to all costs and benefits for you. </t>
  </si>
  <si>
    <t>Table 1. Operations and Maintenance</t>
  </si>
  <si>
    <t>No Build Operations and Maintenance Costs</t>
  </si>
  <si>
    <t>Build Operations and Maintenance Costs</t>
  </si>
  <si>
    <t>Net Change in Operations and Maintenance Costs</t>
  </si>
  <si>
    <t>Safety</t>
  </si>
  <si>
    <t>Note that not all projects will have benefits in all categories. In such cases, simply leave the input values in that sheet as zeros and move to the next sheet.</t>
  </si>
  <si>
    <t>Table 1. Recommended Monetization Values</t>
  </si>
  <si>
    <t>Table 2. Safety</t>
  </si>
  <si>
    <t>No Build Safety Costs</t>
  </si>
  <si>
    <t>Build Safety Costs</t>
  </si>
  <si>
    <t>Safety Benefits</t>
  </si>
  <si>
    <t>Travel Time Savings</t>
  </si>
  <si>
    <t>Hourly Value (2023 $)</t>
  </si>
  <si>
    <t>Personal</t>
  </si>
  <si>
    <t>Business</t>
  </si>
  <si>
    <t>All Purpose</t>
  </si>
  <si>
    <t>Walking, Cycling, Waiting, Standing, and Transfer Time</t>
  </si>
  <si>
    <t>Commercial Vehicle Operators</t>
  </si>
  <si>
    <t>Table 2. Travel Time Savings</t>
  </si>
  <si>
    <t>No Build Travel Time Costs</t>
  </si>
  <si>
    <t>Build Travel Time Costs</t>
  </si>
  <si>
    <t>Travel Time Benefits</t>
  </si>
  <si>
    <t>Vehicle Operating Costs</t>
  </si>
  <si>
    <t>Light Duty Vehicles</t>
  </si>
  <si>
    <t>Commercial Trucks</t>
  </si>
  <si>
    <t>Operating Costs</t>
  </si>
  <si>
    <t>Table 2. Vehicle Operating Costs</t>
  </si>
  <si>
    <t>No Build Vehicle Operating Costs</t>
  </si>
  <si>
    <t>Build Vehicle Operating Costs</t>
  </si>
  <si>
    <t>Vehicle Operating Cost Savings</t>
  </si>
  <si>
    <t>Emissions Reduction</t>
  </si>
  <si>
    <t>Table 1. Emission Costs per VMT and Train-Hour</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</si>
  <si>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</si>
  <si>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</si>
  <si>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2. Emissions</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</si>
  <si>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</si>
  <si>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</si>
  <si>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</si>
  <si>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</si>
  <si>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</si>
  <si>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</si>
  <si>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</si>
  <si>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</si>
  <si>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</si>
  <si>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</si>
  <si>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</si>
  <si>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</si>
  <si>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</si>
  <si>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</si>
  <si>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</si>
  <si>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</si>
  <si>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</si>
  <si>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</si>
  <si>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Other Highway Use Externalities</t>
  </si>
  <si>
    <t>Congestion Cost per VMT</t>
  </si>
  <si>
    <t>Noise Cost per VMT</t>
  </si>
  <si>
    <t>Safety Cost per VMT</t>
  </si>
  <si>
    <t>Table 2. Avoided Externality Benefits</t>
  </si>
  <si>
    <t>Avoided Externalities</t>
  </si>
  <si>
    <t>Amenity Benefits</t>
  </si>
  <si>
    <t>Table 2. Amenity Benefits</t>
  </si>
  <si>
    <t>Health Benefits</t>
  </si>
  <si>
    <t>Applicable Age Range</t>
  </si>
  <si>
    <t>Recommended Value per Induced Trip (2023 $)</t>
  </si>
  <si>
    <t>Walking</t>
  </si>
  <si>
    <t>Cycling</t>
  </si>
  <si>
    <t>Table 2. Health Benefits</t>
  </si>
  <si>
    <t>Residual Value</t>
  </si>
  <si>
    <t>Table 1. Useful Life</t>
  </si>
  <si>
    <t>Project Component</t>
  </si>
  <si>
    <t>Capital Cost (2023 $)</t>
  </si>
  <si>
    <t>Useful Life (Years)</t>
  </si>
  <si>
    <t>[Text Describing Project Component]</t>
  </si>
  <si>
    <t>Total Residual Value</t>
  </si>
  <si>
    <t>To manually calculate the residual value, please enter your estimated value in the blue italicized cell below in lieu of the automatic calculation</t>
  </si>
  <si>
    <t>To remove the residual value, please enter "0" in the blue cell below in lieu of the automatic calculation</t>
  </si>
  <si>
    <t>Table 2. Residual Value</t>
  </si>
  <si>
    <t>Other Benefit 1</t>
  </si>
  <si>
    <t>This is an extra benefit sheet for an additional benefit category not captured elsewhere</t>
  </si>
  <si>
    <t>Table 1. Other Benefit</t>
  </si>
  <si>
    <t>&lt;- Benefit Name</t>
  </si>
  <si>
    <t>Other Benefit 2</t>
  </si>
  <si>
    <t>Other Benefit 3</t>
  </si>
  <si>
    <t>Other Benefit 4</t>
  </si>
  <si>
    <t xml:space="preserve">Note that if more than four "other benefit" categories are needed, applicants may create a copy of this sheet (and rename accordingly). </t>
  </si>
  <si>
    <t>Additionally, the "Summary" sheet will need to be edited to include additional columns for benefits.</t>
  </si>
  <si>
    <t>Additionally, the formulas in the "Total Benefits" column may need to be adjusted to ensure all benefits are being summed correctly.</t>
  </si>
  <si>
    <t>Summary by Benefit Area</t>
  </si>
  <si>
    <t>Table 1. Summary of Benefits</t>
  </si>
  <si>
    <t>Operations and Maintenance</t>
  </si>
  <si>
    <t>Non-CO2 Emission Reduction</t>
  </si>
  <si>
    <t>CO2 Emission Reduction</t>
  </si>
  <si>
    <t>Avoided Highway Externality</t>
  </si>
  <si>
    <t>Total Benefits</t>
  </si>
  <si>
    <t>Total Discounted Benefits</t>
  </si>
  <si>
    <t>Undiscounted Total</t>
  </si>
  <si>
    <t>Discounted Total</t>
  </si>
  <si>
    <t>Table 2. Summary of Costs</t>
  </si>
  <si>
    <t>Capital Cost</t>
  </si>
  <si>
    <t>Discounted Capital Cost</t>
  </si>
  <si>
    <t>Total</t>
  </si>
  <si>
    <t>Benefit Cost Analysis Results</t>
  </si>
  <si>
    <t>Table 1. BCA Results</t>
  </si>
  <si>
    <t>Total Discounted Costs</t>
  </si>
  <si>
    <t>Net Present Value</t>
  </si>
  <si>
    <t>Benefit Cost Ratio</t>
  </si>
  <si>
    <t>Non-Motorized Crashes by Segment</t>
  </si>
  <si>
    <t>CMF</t>
  </si>
  <si>
    <t>Total Annual Benefit:</t>
  </si>
  <si>
    <t>COUNTERMEASURE NAME</t>
  </si>
  <si>
    <t>CRASH TYPE</t>
  </si>
  <si>
    <t>NOTE</t>
  </si>
  <si>
    <t>CRF</t>
  </si>
  <si>
    <t>SOURCE</t>
  </si>
  <si>
    <t>New Sidewalk</t>
  </si>
  <si>
    <t>Pedestrian</t>
  </si>
  <si>
    <t>Crashes walking along roadway/not crossing</t>
  </si>
  <si>
    <t>All</t>
  </si>
  <si>
    <t>Total:</t>
  </si>
  <si>
    <t/>
  </si>
  <si>
    <t>±107</t>
  </si>
  <si>
    <t>±104</t>
  </si>
  <si>
    <t>±125</t>
  </si>
  <si>
    <t>±19</t>
  </si>
  <si>
    <t>±42</t>
  </si>
  <si>
    <t>±25</t>
  </si>
  <si>
    <t>DATA NOTES</t>
  </si>
  <si>
    <t>TABLE ID:</t>
  </si>
  <si>
    <t>SURVEY/PROGRAM:</t>
  </si>
  <si>
    <t>American Community Survey</t>
  </si>
  <si>
    <t>VINTAGE:</t>
  </si>
  <si>
    <t>DATASET:</t>
  </si>
  <si>
    <t>ACSDT5Y2023</t>
  </si>
  <si>
    <t>PRODUCT:</t>
  </si>
  <si>
    <t>ACS 5-Year Estimates Detailed Tables</t>
  </si>
  <si>
    <t>UNIVERSE:</t>
  </si>
  <si>
    <t>MLA:</t>
  </si>
  <si>
    <t>FTP URL:</t>
  </si>
  <si>
    <t>None</t>
  </si>
  <si>
    <t>API URL:</t>
  </si>
  <si>
    <t>https://api.census.gov/data/2023/acs/acs5</t>
  </si>
  <si>
    <t>(X)</t>
  </si>
  <si>
    <t>±3.3</t>
  </si>
  <si>
    <t>±176</t>
  </si>
  <si>
    <t>±3.1</t>
  </si>
  <si>
    <t>±2.6</t>
  </si>
  <si>
    <t>±30</t>
  </si>
  <si>
    <t>±3.0</t>
  </si>
  <si>
    <t>±89</t>
  </si>
  <si>
    <t>±3.5</t>
  </si>
  <si>
    <t>±88</t>
  </si>
  <si>
    <t>±1.6</t>
  </si>
  <si>
    <t>±6.2</t>
  </si>
  <si>
    <t>±3.7</t>
  </si>
  <si>
    <t>±2.3</t>
  </si>
  <si>
    <t>±4.0</t>
  </si>
  <si>
    <t>±5.0</t>
  </si>
  <si>
    <t>±2.9</t>
  </si>
  <si>
    <t>±63</t>
  </si>
  <si>
    <t>±2.4</t>
  </si>
  <si>
    <t>±4.7</t>
  </si>
  <si>
    <t>±2.5</t>
  </si>
  <si>
    <t>±113</t>
  </si>
  <si>
    <t>±5.8</t>
  </si>
  <si>
    <t>±4.8</t>
  </si>
  <si>
    <t>±2.8</t>
  </si>
  <si>
    <t>±3.2</t>
  </si>
  <si>
    <t>±6.1</t>
  </si>
  <si>
    <t>±4.5</t>
  </si>
  <si>
    <t>±1.5</t>
  </si>
  <si>
    <t>±2.0</t>
  </si>
  <si>
    <t>±2.2</t>
  </si>
  <si>
    <t>±0.8</t>
  </si>
  <si>
    <t>±3.9</t>
  </si>
  <si>
    <t>±4.4</t>
  </si>
  <si>
    <t>±4.2</t>
  </si>
  <si>
    <t>±116</t>
  </si>
  <si>
    <t>±77</t>
  </si>
  <si>
    <t>±5.7</t>
  </si>
  <si>
    <t>±1.7</t>
  </si>
  <si>
    <t>±2.1</t>
  </si>
  <si>
    <t>±4.3</t>
  </si>
  <si>
    <t>±61</t>
  </si>
  <si>
    <t>±2.7</t>
  </si>
  <si>
    <t>±109</t>
  </si>
  <si>
    <t>±0.9</t>
  </si>
  <si>
    <t>±195</t>
  </si>
  <si>
    <t>±5.1</t>
  </si>
  <si>
    <t>±3.6</t>
  </si>
  <si>
    <t>±1.4</t>
  </si>
  <si>
    <t>±59</t>
  </si>
  <si>
    <t>±1.3</t>
  </si>
  <si>
    <t>±56</t>
  </si>
  <si>
    <t>±5.5</t>
  </si>
  <si>
    <t>±6.0</t>
  </si>
  <si>
    <t>±153</t>
  </si>
  <si>
    <t>±133</t>
  </si>
  <si>
    <t>±1.9</t>
  </si>
  <si>
    <t>±1.2</t>
  </si>
  <si>
    <t>±1.8</t>
  </si>
  <si>
    <t>±6.7</t>
  </si>
  <si>
    <t>±5.9</t>
  </si>
  <si>
    <t>±5.4</t>
  </si>
  <si>
    <t>±166</t>
  </si>
  <si>
    <t>±85</t>
  </si>
  <si>
    <t>±6.9</t>
  </si>
  <si>
    <t>±16.3</t>
  </si>
  <si>
    <t>±297</t>
  </si>
  <si>
    <t>±9.9</t>
  </si>
  <si>
    <t>±135</t>
  </si>
  <si>
    <t>±110</t>
  </si>
  <si>
    <t>±126</t>
  </si>
  <si>
    <t>±97</t>
  </si>
  <si>
    <t>±5.3</t>
  </si>
  <si>
    <t>Estimated Population Growth Rate:</t>
  </si>
  <si>
    <t>Total Commuters</t>
  </si>
  <si>
    <t>Drove alone</t>
  </si>
  <si>
    <t>Carpooled Any</t>
  </si>
  <si>
    <t>Transit total</t>
  </si>
  <si>
    <t>Motorcycle</t>
  </si>
  <si>
    <t>Bicycle</t>
  </si>
  <si>
    <t>Walked</t>
  </si>
  <si>
    <t>Oher Means</t>
  </si>
  <si>
    <t>Worked from Home</t>
  </si>
  <si>
    <t>Total Commuting Minus WFH</t>
  </si>
  <si>
    <t>Commuting Mode Share</t>
  </si>
  <si>
    <t>Source: American Community Survey 2017-2021</t>
  </si>
  <si>
    <t>Estimated annual population growth rate</t>
  </si>
  <si>
    <t>Baseline</t>
  </si>
  <si>
    <t>Employed Population in Project Area</t>
  </si>
  <si>
    <t>Commute Walk Population*</t>
  </si>
  <si>
    <t>Commute Walk Trips (Annualized)</t>
  </si>
  <si>
    <t>Utilitarian Adult Walk Trips (Annualized)</t>
  </si>
  <si>
    <t>Combined New Total Walking Trips (Annualized)**</t>
  </si>
  <si>
    <t>Reduced Vehicle Commute Trips (Annualized)</t>
  </si>
  <si>
    <t>Reduced Vehicle Utilitarian Trips (Annualized)</t>
  </si>
  <si>
    <t>Reduced VMT</t>
  </si>
  <si>
    <t>Base Population Year</t>
  </si>
  <si>
    <t>*Commuting population assumed to grow at the same rate as larger population at .1% annual rate.</t>
  </si>
  <si>
    <t>Pop Total</t>
  </si>
  <si>
    <t>Census Groups within Project Area 2023 ACS</t>
  </si>
  <si>
    <t>New Bern Population</t>
  </si>
  <si>
    <t>±633</t>
  </si>
  <si>
    <t>±218</t>
  </si>
  <si>
    <t>Other means</t>
  </si>
  <si>
    <t>B08301</t>
  </si>
  <si>
    <t>2023</t>
  </si>
  <si>
    <t>Workers 16 years and over</t>
  </si>
  <si>
    <t>U.S. Census Bureau, U.S. Department of Commerce. "Means of Transportation to Work." American Community Survey, ACS 5-Year Estimates Detailed Tables, Table B08301, 2023, https://data.census.gov/table/ACSDT5Y2023.B08301?q=bicycle&amp;t=Commuting&amp;g=1400000US37049960600,37049960700,37049960800. Accessed on December 23, 2024.</t>
  </si>
  <si>
    <t>Census Tracts within 0.5,miles</t>
  </si>
  <si>
    <t xml:space="preserve">New Bern population estimates derived from 2023 Census. 
The project area population and mode share estimates are from 2023 ACS reporting.  
Assumed 0.1% annual population growth rate based on the North Carolina Office of State Budget and Management 2020-2050 population projection for Craven County where New Bern is located.  </t>
  </si>
  <si>
    <t>**Includes additional induced trips from improved walking conditions towards walk goal of 3% walking mode share for both commuting and utilitarian trips through 2054 goal year, but does not account for trips by children and is likely undercounted.</t>
  </si>
  <si>
    <t>Baseline Mode Share</t>
  </si>
  <si>
    <t>Local Estimated Mode Share</t>
  </si>
  <si>
    <t>Trip Type</t>
  </si>
  <si>
    <t>Source</t>
  </si>
  <si>
    <t>Drove Alone</t>
  </si>
  <si>
    <t>Carpool (Any)</t>
  </si>
  <si>
    <t>WFH</t>
  </si>
  <si>
    <t>Commute (Walk Area)</t>
  </si>
  <si>
    <t>Adult Utilitarian (Walk Area, minus WFH)</t>
  </si>
  <si>
    <t>N/A</t>
  </si>
  <si>
    <t>Assumed Trip Baseline Replacement Factors</t>
  </si>
  <si>
    <t>Local Estimated Mode Shares.</t>
  </si>
  <si>
    <t>Assume national average carpool size (2.40727953019561).</t>
  </si>
  <si>
    <t>n/a</t>
  </si>
  <si>
    <t>Adult Utilitarian (Walk Area)</t>
  </si>
  <si>
    <t>Goal Mode Share*</t>
  </si>
  <si>
    <t>Increase from Baseline</t>
  </si>
  <si>
    <t>Demand/Activity Multipliers</t>
  </si>
  <si>
    <t>Factor</t>
  </si>
  <si>
    <t>Utilitarian Walk Trip Multiplier</t>
  </si>
  <si>
    <t>Source: NHTS 2017</t>
  </si>
  <si>
    <t>Vehicle Miles Travelled Reduced</t>
  </si>
  <si>
    <t>NHTS, 2017</t>
  </si>
  <si>
    <t>Summary Mode Share Inputs Table</t>
  </si>
  <si>
    <t>Trip Replacement Multiplier</t>
  </si>
  <si>
    <t>Transportation mode used on trip (as reported by respondent)</t>
  </si>
  <si>
    <t>Trip purpose summary</t>
  </si>
  <si>
    <t>Home</t>
  </si>
  <si>
    <t>Work</t>
  </si>
  <si>
    <t>School/Daycare
/Religious activity</t>
  </si>
  <si>
    <t>Medical/Dental
services</t>
  </si>
  <si>
    <t>Shopping/Errands</t>
  </si>
  <si>
    <t>Social/Recreational</t>
  </si>
  <si>
    <t>Transport
someone</t>
  </si>
  <si>
    <t>Meals</t>
  </si>
  <si>
    <t>Something
else</t>
  </si>
  <si>
    <t>Walk</t>
  </si>
  <si>
    <t>Walk Trip Ratio | Utilitarian : Work</t>
  </si>
  <si>
    <r>
      <t>Ratio of utilitarian walk trips (</t>
    </r>
    <r>
      <rPr>
        <b/>
        <i/>
        <sz val="10"/>
        <rFont val="Arial"/>
        <family val="2"/>
      </rPr>
      <t>all trip purpose responses except</t>
    </r>
    <r>
      <rPr>
        <i/>
        <sz val="10"/>
        <rFont val="Arial"/>
        <family val="2"/>
      </rPr>
      <t xml:space="preserve"> Home, Work, School/Daycare/Religious, Social/Recreational) to </t>
    </r>
    <r>
      <rPr>
        <b/>
        <i/>
        <sz val="10"/>
        <rFont val="Arial"/>
        <family val="2"/>
      </rPr>
      <t>work trips</t>
    </r>
    <r>
      <rPr>
        <i/>
        <sz val="10"/>
        <rFont val="Arial"/>
        <family val="2"/>
      </rPr>
      <t>.  Used to estimate number of other walk trips given walking commute mode share.</t>
    </r>
  </si>
  <si>
    <t>ACS 2023</t>
  </si>
  <si>
    <t>ACS  2023. Assumed same as ACS Commute share minus Work from Home</t>
  </si>
  <si>
    <t>2054  Mode Shares with Build Project</t>
  </si>
  <si>
    <t>Commute 2054 Goal (Walk Area)</t>
  </si>
  <si>
    <t>Adult Utilitarian 2054 Goal (Walk Area)</t>
  </si>
  <si>
    <t>Bicycle Trip Ratio | Utilitarian : Work</t>
  </si>
  <si>
    <t>Utilitarian Bicycle Trip Multiplier</t>
  </si>
  <si>
    <t>Commute (Bicycle Area)</t>
  </si>
  <si>
    <t>Adult Utilitarian (Bicycle Area)</t>
  </si>
  <si>
    <t>Mode Share (applied across project area)</t>
  </si>
  <si>
    <t xml:space="preserve">Project Area Population </t>
  </si>
  <si>
    <t>Utilitarian Adult Bicycling Trips (Annualized)</t>
  </si>
  <si>
    <t>Combined New Total Bicycling Trips (Annualized)**</t>
  </si>
  <si>
    <t>Commute Bicycle Population*</t>
  </si>
  <si>
    <t>Commute Bicycle Trips (Annualized)</t>
  </si>
  <si>
    <t>Utilitarian Bicycle Walk Trips (Annualized)</t>
  </si>
  <si>
    <t>Commute Bicycling Trips (Annualized)</t>
  </si>
  <si>
    <t>2054 Goal Mode Share</t>
  </si>
  <si>
    <t>*Goal was made from regional and corridor considerations</t>
  </si>
  <si>
    <t>National Travel Day Person Trips (Millions)</t>
  </si>
  <si>
    <t>Commute Walk Population</t>
  </si>
  <si>
    <t>Commute Distance - Walk</t>
  </si>
  <si>
    <t>Utilitarian Distance - Walk</t>
  </si>
  <si>
    <t>Commute Distance - Bicycle</t>
  </si>
  <si>
    <t>Utilitarian Distance - Bicycle</t>
  </si>
  <si>
    <t>https://ww2.arb.ca.gov/sites/default/files/auction-proceeds/bicycle_facilities_technical_041519.pdf</t>
  </si>
  <si>
    <t>Reduced Vehicle  Walk Commute Trips (Annualized)</t>
  </si>
  <si>
    <t>Reduced Vehicle Walk Utilitarian Trips (Annualized)</t>
  </si>
  <si>
    <t>Sidewalk</t>
  </si>
  <si>
    <t>Pedestrian - along rdwy</t>
  </si>
  <si>
    <t>No expected improvements to Travel Times</t>
  </si>
  <si>
    <t>No Expected Improvements</t>
  </si>
  <si>
    <t>Emissions Rate (g/mile)</t>
  </si>
  <si>
    <t>Passenger Car</t>
  </si>
  <si>
    <t>CO2</t>
  </si>
  <si>
    <t xml:space="preserve">NOx </t>
  </si>
  <si>
    <t>PM2.5</t>
  </si>
  <si>
    <t>SO2</t>
  </si>
  <si>
    <t>Assumption: Most replaced vehicle trips are short commuting trips and utilitarian trips accomplished by a passenger vehicle</t>
  </si>
  <si>
    <t>Trucks, SUVs, and commercial vehicles were not included in the analysis. Those emissions values are higher and would result in increased emissions benefits</t>
  </si>
  <si>
    <t>Source: https://nepis.epa.gov/Exe/ZyPDF.cgi?Dockey=P1017FP5.pdf</t>
  </si>
  <si>
    <t>Roadway AADT</t>
  </si>
  <si>
    <t>AADT</t>
  </si>
  <si>
    <t>uses average of corridor plus growth</t>
  </si>
  <si>
    <t>***Assume traffic in 2050 is equal to rate of the average capacity analysis</t>
  </si>
  <si>
    <t>Average Annual Traffic Total***</t>
  </si>
  <si>
    <t>Vehicles*</t>
  </si>
  <si>
    <t>Corridor Length (mile)</t>
  </si>
  <si>
    <t>Max Pedestrian Distance Recommendation</t>
  </si>
  <si>
    <t>miles</t>
  </si>
  <si>
    <t>Expand Sidewalk (per foot of added width)2</t>
  </si>
  <si>
    <t>New multi-use path (10' x 800')</t>
  </si>
  <si>
    <t>AADT_2003</t>
  </si>
  <si>
    <t>AADT_2005</t>
  </si>
  <si>
    <t>AADT_2007</t>
  </si>
  <si>
    <t>AADT_2009</t>
  </si>
  <si>
    <t>AADT_2011</t>
  </si>
  <si>
    <t>AADT_2013</t>
  </si>
  <si>
    <t>AADT_2015</t>
  </si>
  <si>
    <t>AADT_2019</t>
  </si>
  <si>
    <t>AADT_2021</t>
  </si>
  <si>
    <t>AADT_2023</t>
  </si>
  <si>
    <t>Yearly Growth</t>
  </si>
  <si>
    <t>Label (Grouping)</t>
  </si>
  <si>
    <t>Census Tract 120.08; New Hanover County; North Carolina!!Estimate</t>
  </si>
  <si>
    <t>Census Tract 120.08; New Hanover County; North Carolina!!Margin of Error</t>
  </si>
  <si>
    <t>Census Tract 120.10; New Hanover County; North Carolina!!Estimate</t>
  </si>
  <si>
    <t>Census Tract 120.10; New Hanover County; North Carolina!!Margin of Error</t>
  </si>
  <si>
    <t>    Car, truck, or van:</t>
  </si>
  <si>
    <t>        Drove alone</t>
  </si>
  <si>
    <t>±557</t>
  </si>
  <si>
    <t>        Carpooled:</t>
  </si>
  <si>
    <t>            In 2-person carpool</t>
  </si>
  <si>
    <t>            In 3-person carpool</t>
  </si>
  <si>
    <t>            In 4-person carpool</t>
  </si>
  <si>
    <t>±138</t>
  </si>
  <si>
    <t>            In 5- or 6-person carpool</t>
  </si>
  <si>
    <t>            In 7-or-more-person carpool</t>
  </si>
  <si>
    <t>    Public transportation (excluding taxicab):</t>
  </si>
  <si>
    <t>        Bus</t>
  </si>
  <si>
    <t>        Subway or elevated rail</t>
  </si>
  <si>
    <t>        Long-distance train or commuter rail</t>
  </si>
  <si>
    <t>        Light rail, streetcar or trolley (carro público in Puerto Rico)</t>
  </si>
  <si>
    <t>        Ferryboat</t>
  </si>
  <si>
    <t>    Taxicab</t>
  </si>
  <si>
    <t>    Motorcycle</t>
  </si>
  <si>
    <t>    Bicycle</t>
  </si>
  <si>
    <t>    Walked</t>
  </si>
  <si>
    <t>    Other means</t>
  </si>
  <si>
    <t>    Worked from home</t>
  </si>
  <si>
    <t>Other Means</t>
  </si>
  <si>
    <t>Census Tract 120.08; New Hanover County; North Carolina!!Percent</t>
  </si>
  <si>
    <t>Census Tract 120.08; New Hanover County; North Carolina!!Percent Margin of Error</t>
  </si>
  <si>
    <t>Census Tract 120.10; New Hanover County; North Carolina!!Percent</t>
  </si>
  <si>
    <t>Census Tract 120.10; New Hanover County; North Carolina!!Percent Margin of Error</t>
  </si>
  <si>
    <t>SEX AND AGE</t>
  </si>
  <si>
    <t>    Total population</t>
  </si>
  <si>
    <t>±764</t>
  </si>
  <si>
    <t>±591</t>
  </si>
  <si>
    <t>        Male</t>
  </si>
  <si>
    <t>±500</t>
  </si>
  <si>
    <t>±425</t>
  </si>
  <si>
    <t>        Female</t>
  </si>
  <si>
    <t>±488</t>
  </si>
  <si>
    <t>        Sex ratio (males per 100 females)</t>
  </si>
  <si>
    <t>±16.5</t>
  </si>
  <si>
    <t>        Under 5 years</t>
  </si>
  <si>
    <t>±149</t>
  </si>
  <si>
    <t>±118</t>
  </si>
  <si>
    <t>        5 to 9 years</t>
  </si>
  <si>
    <t>        10 to 14 years</t>
  </si>
  <si>
    <t>        15 to 19 years</t>
  </si>
  <si>
    <t>±128</t>
  </si>
  <si>
    <t>        20 to 24 years</t>
  </si>
  <si>
    <t>±463</t>
  </si>
  <si>
    <t>±114</t>
  </si>
  <si>
    <t>        25 to 34 years</t>
  </si>
  <si>
    <t>±357</t>
  </si>
  <si>
    <t>±188</t>
  </si>
  <si>
    <t>        35 to 44 years</t>
  </si>
  <si>
    <t>±210</t>
  </si>
  <si>
    <t>±294</t>
  </si>
  <si>
    <t>        45 to 54 years</t>
  </si>
  <si>
    <t>±255</t>
  </si>
  <si>
    <t>        55 to 59 years</t>
  </si>
  <si>
    <t>        60 to 64 years</t>
  </si>
  <si>
    <t>        65 to 74 years</t>
  </si>
  <si>
    <t>        75 to 84 years</t>
  </si>
  <si>
    <t>±139</t>
  </si>
  <si>
    <t>±84</t>
  </si>
  <si>
    <t>        85 years and over</t>
  </si>
  <si>
    <t>±72</t>
  </si>
  <si>
    <t>±1.1</t>
  </si>
  <si>
    <t>±0.6</t>
  </si>
  <si>
    <t>        Median age (years)</t>
  </si>
  <si>
    <t>        Under 18 years</t>
  </si>
  <si>
    <t>        16 years and over</t>
  </si>
  <si>
    <t>±661</t>
  </si>
  <si>
    <t>±556</t>
  </si>
  <si>
    <t>        18 years and over</t>
  </si>
  <si>
    <t>±671</t>
  </si>
  <si>
    <t>±551</t>
  </si>
  <si>
    <t>        21 years and over</t>
  </si>
  <si>
    <t>±564</t>
  </si>
  <si>
    <t>        62 years and over</t>
  </si>
  <si>
    <t>±214</t>
  </si>
  <si>
    <t>±296</t>
  </si>
  <si>
    <t>        65 years and over</t>
  </si>
  <si>
    <t>±205</t>
  </si>
  <si>
    <t>            Male</t>
  </si>
  <si>
    <t>±453</t>
  </si>
  <si>
    <t>±387</t>
  </si>
  <si>
    <t>            Female</t>
  </si>
  <si>
    <t>±417</t>
  </si>
  <si>
    <t>±258</t>
  </si>
  <si>
    <t>            Sex ratio (males per 100 females)</t>
  </si>
  <si>
    <t>±16.8</t>
  </si>
  <si>
    <t>±173</t>
  </si>
  <si>
    <t>±9.1</t>
  </si>
  <si>
    <t>±34.1</t>
  </si>
  <si>
    <t>±25.4</t>
  </si>
  <si>
    <t>RACE</t>
  </si>
  <si>
    <t>        One race</t>
  </si>
  <si>
    <t>±610</t>
  </si>
  <si>
    <t>±617</t>
  </si>
  <si>
    <t>        Two or More Races</t>
  </si>
  <si>
    <t>±452</t>
  </si>
  <si>
    <t>            White</t>
  </si>
  <si>
    <t>±7.0</t>
  </si>
  <si>
    <t>±624</t>
  </si>
  <si>
    <t>            Black or African American</t>
  </si>
  <si>
    <t>±291</t>
  </si>
  <si>
    <t>±187</t>
  </si>
  <si>
    <t>            American Indian and Alaska Native</t>
  </si>
  <si>
    <t>                Aztec</t>
  </si>
  <si>
    <t>                Blackfeet Tribe of the Blackfeet Indian Reservation of Montana</t>
  </si>
  <si>
    <t>                Maya</t>
  </si>
  <si>
    <t>                Native Village of Barrow Inupiat Traditional Government</t>
  </si>
  <si>
    <t>                Navajo Nation</t>
  </si>
  <si>
    <t>                Nome Eskimo Community</t>
  </si>
  <si>
    <t>                Other American Indian and Alaska Native</t>
  </si>
  <si>
    <t>            Asian</t>
  </si>
  <si>
    <t>                Asian Indian</t>
  </si>
  <si>
    <t>                Chinese</t>
  </si>
  <si>
    <t>                Filipino</t>
  </si>
  <si>
    <t>                Japanese</t>
  </si>
  <si>
    <t>                Korean</t>
  </si>
  <si>
    <t>                Vietnamese</t>
  </si>
  <si>
    <t>                Other Asian</t>
  </si>
  <si>
    <t>            Native Hawaiian and Other Pacific Islander</t>
  </si>
  <si>
    <t>                Chamorro</t>
  </si>
  <si>
    <t>                Native Hawaiian</t>
  </si>
  <si>
    <t>                Samoan</t>
  </si>
  <si>
    <t>                Other Native Hawaiian and Other Pacific Islander</t>
  </si>
  <si>
    <t>            Some Other Race</t>
  </si>
  <si>
    <t>            White and Black or African American</t>
  </si>
  <si>
    <t>±182</t>
  </si>
  <si>
    <t>            White and American Indian and Alaska Native</t>
  </si>
  <si>
    <t>            White and Asian</t>
  </si>
  <si>
    <t>±1.0</t>
  </si>
  <si>
    <t>            White and Some Other Race</t>
  </si>
  <si>
    <t>±407</t>
  </si>
  <si>
    <t>±208</t>
  </si>
  <si>
    <t>            Black or African American and American Indian and Alaska Native</t>
  </si>
  <si>
    <t>±0.4</t>
  </si>
  <si>
    <t>            Black or African American and Some Other Race</t>
  </si>
  <si>
    <t>Race alone or in combination with one or more other races</t>
  </si>
  <si>
    <t>        White</t>
  </si>
  <si>
    <t>±682</t>
  </si>
  <si>
    <t>±604</t>
  </si>
  <si>
    <t>        Black or African American</t>
  </si>
  <si>
    <t>±348</t>
  </si>
  <si>
    <t>±200</t>
  </si>
  <si>
    <t>        American Indian and Alaska Native</t>
  </si>
  <si>
    <t>        Asian</t>
  </si>
  <si>
    <t>±167</t>
  </si>
  <si>
    <t>        Native Hawaiian and Other Pacific Islander</t>
  </si>
  <si>
    <t>        Some Other Race</t>
  </si>
  <si>
    <t>±433</t>
  </si>
  <si>
    <t>HISPANIC OR LATINO AND RACE</t>
  </si>
  <si>
    <t>        Hispanic or Latino (of any race)</t>
  </si>
  <si>
    <t>±155</t>
  </si>
  <si>
    <t>±244</t>
  </si>
  <si>
    <t>            Mexican</t>
  </si>
  <si>
    <t>            Puerto Rican</t>
  </si>
  <si>
    <t>            Cuban</t>
  </si>
  <si>
    <t>            Other Hispanic or Latino</t>
  </si>
  <si>
    <t>        Not Hispanic or Latino</t>
  </si>
  <si>
    <t>±745</t>
  </si>
  <si>
    <t>            White alone</t>
  </si>
  <si>
    <t>±548</t>
  </si>
  <si>
    <t>±647</t>
  </si>
  <si>
    <t>            Black or African American alone</t>
  </si>
  <si>
    <t>±287</t>
  </si>
  <si>
    <t>            American Indian and Alaska Native alone</t>
  </si>
  <si>
    <t>            Asian alone</t>
  </si>
  <si>
    <t>            Native Hawaiian and Other Pacific Islander alone</t>
  </si>
  <si>
    <t>            Some Other Race alone</t>
  </si>
  <si>
    <t>            Two or More Races</t>
  </si>
  <si>
    <t>±449</t>
  </si>
  <si>
    <t>±141</t>
  </si>
  <si>
    <t>                Two races including Some Other Race</t>
  </si>
  <si>
    <t>±401</t>
  </si>
  <si>
    <t>±105</t>
  </si>
  <si>
    <t>                Two races excluding Some Other Race, and three or more races</t>
  </si>
  <si>
    <t>Total housing units</t>
  </si>
  <si>
    <t>±329</t>
  </si>
  <si>
    <t>±373</t>
  </si>
  <si>
    <t>CITIZEN, VOTING AGE POPULATION</t>
  </si>
  <si>
    <t>    Citizen, 18 and over population</t>
  </si>
  <si>
    <t>±722</t>
  </si>
  <si>
    <t>±560</t>
  </si>
  <si>
    <t>±480</t>
  </si>
  <si>
    <t>±397</t>
  </si>
  <si>
    <t>±436</t>
  </si>
  <si>
    <t>Percent Adult</t>
  </si>
  <si>
    <t>Urban</t>
  </si>
  <si>
    <t>Install Crosswalk with Multiple Improvements</t>
  </si>
  <si>
    <t xml:space="preserve">New Sidewalk and Multi-Use-Path </t>
  </si>
  <si>
    <t>Total Length and Avg Width of Improvements</t>
  </si>
  <si>
    <t>88% for sidewalk side of road (includes everything)</t>
  </si>
  <si>
    <t>less than 20 years (pavement markings/crossing)</t>
  </si>
  <si>
    <t>Lifetime of sidewalk est 50years</t>
  </si>
  <si>
    <t>Lifetime of signal/masts est 50years</t>
  </si>
  <si>
    <t>Pavement markings/crossing estimated at 12% of project costs</t>
  </si>
  <si>
    <t>Shorter Life Project Components</t>
  </si>
  <si>
    <t>Long Life Components (sidewalks/signal masts/MUP/Fencing)</t>
  </si>
  <si>
    <t>Item</t>
  </si>
  <si>
    <t>Each/Corridor</t>
  </si>
  <si>
    <t>Quantity</t>
  </si>
  <si>
    <t>Yearly Maint. Cost</t>
  </si>
  <si>
    <t>Timeline (yrs)</t>
  </si>
  <si>
    <t>Service Life</t>
  </si>
  <si>
    <t>each</t>
  </si>
  <si>
    <t>Cabinets</t>
  </si>
  <si>
    <t>Signal Maintenance</t>
  </si>
  <si>
    <t>Concrete Countermeasures</t>
  </si>
  <si>
    <t>Lighting</t>
  </si>
  <si>
    <t>Concrete Sidewalk/Path</t>
  </si>
  <si>
    <t>corridor</t>
  </si>
  <si>
    <t>Signalizing rcut, add concrete z-crossing</t>
  </si>
  <si>
    <t>Median Fencing, sidewalk (1900ft), 800' multiuse path + c/g, adding ped signal heads to 1 signal</t>
  </si>
  <si>
    <t>New sidewalk (5' x 1900')</t>
  </si>
  <si>
    <t>Source: American Community Survey 2019-2023</t>
  </si>
  <si>
    <t>Population Estimate</t>
  </si>
  <si>
    <t>Source: North Carolina OSBM, Standard Population Estimates, Vintage 2023 and Population Projections, Vintage 2024</t>
  </si>
  <si>
    <t>Yearly Rate Average Change</t>
  </si>
  <si>
    <t>Avg. Increase</t>
  </si>
  <si>
    <t>Avg Rate Increase</t>
  </si>
  <si>
    <t>*Commuting population assumed to grow at the same rate as larger population at 1.3% annual rate.</t>
  </si>
  <si>
    <t>Sources provided by NCDOT</t>
  </si>
  <si>
    <t>Crosswalk w/multiple Improvements</t>
  </si>
  <si>
    <t>Pedestrian - crossing</t>
  </si>
  <si>
    <t>along improvement</t>
  </si>
  <si>
    <t>along corridor</t>
  </si>
  <si>
    <t>(O34*2*5*52)*(1+'Trip Multipliers'!$J$5+(($B34-$B$37)*(('Trip Multipliers'!$J$16-'Trip Multipliers'!$J$5)/($B$55-$B$37))))</t>
  </si>
  <si>
    <t>NCDOT CRF Sheet</t>
  </si>
  <si>
    <t xml:space="preserve">EconomyImpact-Analysis.pdf </t>
  </si>
  <si>
    <t>3% walk Goal in NCDOT long-range goal</t>
  </si>
  <si>
    <t>Total Crashes (10-Year) 2014-2023</t>
  </si>
  <si>
    <t>Census Tracts within Project Area (2019-2023 ACS)</t>
  </si>
  <si>
    <t>Annualized Value</t>
  </si>
  <si>
    <t>Annualized Benefit</t>
  </si>
  <si>
    <t>This analysis is focsed on the impacts to pedestrian safety. Likely there are additional unaccounted vehicular benefits from the signalized RCUT, as well as bicyclists.</t>
  </si>
  <si>
    <t>Recommended Value per Person-Mile Walked (2023 $)</t>
  </si>
  <si>
    <t>Census Tract 121.10; New Hanover County; North Carolina!!Estimate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</si>
</sst>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_(* #,##0_);_(* \(#,##0\);_(* &quot;-&quot;??_);_(@_)"/>
    <numFmt numFmtId="172" formatCode="0.0%"/>
    <numFmt numFmtId="173" formatCode="0.000"/>
  </numFmts>
  <fonts count="49">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b/>
      <sz val="11"/>
      <color theme="1"/>
      <name val="Calibri"/>
      <family val="2"/>
      <scheme val="minor"/>
    </font>
    <font>
      <b/>
      <sz val="12"/>
      <color rgb="FFFFFFFF"/>
      <name val="Aptos"/>
      <family val="2"/>
    </font>
    <font>
      <b/>
      <sz val="11"/>
      <name val="Calibri"/>
      <family val="2"/>
    </font>
    <font>
      <sz val="11"/>
      <color rgb="FF000000"/>
      <name val="Calibri"/>
      <family val="2"/>
      <scheme val="minor"/>
    </font>
    <font>
      <i/>
      <sz val="10"/>
      <color theme="1"/>
      <name val="Arial"/>
      <family val="2"/>
    </font>
    <font>
      <sz val="10"/>
      <color theme="1"/>
      <name val="Arial"/>
      <family val="2"/>
    </font>
    <font>
      <b/>
      <sz val="10"/>
      <color theme="1"/>
      <name val="Arial"/>
      <family val="2"/>
    </font>
    <font>
      <sz val="10"/>
      <name val="Arial"/>
      <family val="2"/>
    </font>
    <font>
      <b/>
      <sz val="10"/>
      <name val="Arial"/>
      <family val="2"/>
    </font>
    <font>
      <sz val="10"/>
      <color rgb="FF323232"/>
      <name val="Var(--fontsHeadingFamily)"/>
    </font>
    <font>
      <sz val="10"/>
      <color rgb="FFC00000"/>
      <name val="Arial"/>
      <family val="2"/>
    </font>
    <font>
      <i/>
      <sz val="10"/>
      <name val="Arial"/>
      <family val="2"/>
    </font>
    <font>
      <b/>
      <i/>
      <sz val="10"/>
      <name val="Arial"/>
      <family val="2"/>
    </font>
    <font>
      <strike/>
      <sz val="11"/>
      <color theme="1"/>
      <name val="Calibri"/>
      <family val="2"/>
      <scheme val="minor"/>
    </font>
    <font>
      <sz val="12"/>
      <color rgb="FF000000"/>
      <name val="Aptos"/>
      <family val="2"/>
    </font>
    <font>
      <sz val="11"/>
      <color rgb="FF212529"/>
      <name val="Source Sans Pro"/>
      <family val="2"/>
    </font>
    <font>
      <sz val="9"/>
      <color theme="1"/>
      <name val="Segoe UI"/>
      <family val="2"/>
    </font>
  </fonts>
  <fills count="2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rgb="FF15608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rgb="FFFFFFFF"/>
      </left>
      <right style="medium">
        <color rgb="FFFFFFFF"/>
      </right>
      <top/>
      <bottom/>
      <diagonal/>
    </border>
    <border>
      <left style="medium">
        <color rgb="FF000000"/>
      </left>
      <right/>
      <top style="medium">
        <color rgb="FF000000"/>
      </top>
      <bottom style="medium">
        <color rgb="FF000000"/>
      </bottom>
      <diagonal/>
    </border>
    <border>
      <left style="medium">
        <color rgb="FF000000"/>
      </left>
      <right/>
      <top/>
      <bottom/>
      <diagonal/>
    </border>
  </borders>
  <cellStyleXfs count="12">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xf numFmtId="9" fontId="11" fillId="0" borderId="0" applyFont="0" applyFill="0" applyBorder="0" applyAlignment="0" applyProtection="0"/>
    <xf numFmtId="0" fontId="35" fillId="0" borderId="0"/>
  </cellStyleXfs>
  <cellXfs count="457">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32" fillId="0" borderId="0" xfId="0" applyFont="1"/>
    <xf numFmtId="0" fontId="33" fillId="15" borderId="35" xfId="0" applyFont="1" applyFill="1" applyBorder="1" applyAlignment="1">
      <alignment horizontal="left" vertical="center" wrapText="1" readingOrder="1"/>
    </xf>
    <xf numFmtId="0" fontId="0" fillId="0" borderId="0" xfId="0" applyAlignment="1">
      <alignment wrapText="1"/>
    </xf>
    <xf numFmtId="0" fontId="0" fillId="0" borderId="0" xfId="0" applyAlignment="1">
      <alignment wrapText="1" indent="1"/>
    </xf>
    <xf numFmtId="0" fontId="0" fillId="0" borderId="0" xfId="0" applyAlignment="1">
      <alignment wrapText="1" indent="2"/>
    </xf>
    <xf numFmtId="0" fontId="34" fillId="18" borderId="1" xfId="0" applyFont="1" applyFill="1" applyBorder="1" applyAlignment="1">
      <alignment horizontal="left" vertical="center" wrapText="1" indent="1"/>
    </xf>
    <xf numFmtId="0" fontId="0" fillId="18" borderId="0" xfId="0" applyFill="1" applyAlignment="1">
      <alignment wrapText="1"/>
    </xf>
    <xf numFmtId="10" fontId="0" fillId="4" borderId="0" xfId="0" applyNumberFormat="1" applyFill="1"/>
    <xf numFmtId="171" fontId="36" fillId="0" borderId="0" xfId="9" applyNumberFormat="1" applyFont="1" applyBorder="1"/>
    <xf numFmtId="0" fontId="37" fillId="0" borderId="0" xfId="0" applyFont="1"/>
    <xf numFmtId="0" fontId="37" fillId="0" borderId="13" xfId="0" applyFont="1" applyBorder="1"/>
    <xf numFmtId="0" fontId="37" fillId="0" borderId="23" xfId="0" applyFont="1" applyBorder="1"/>
    <xf numFmtId="0" fontId="38" fillId="12" borderId="28" xfId="0" applyFont="1" applyFill="1" applyBorder="1"/>
    <xf numFmtId="0" fontId="38" fillId="12" borderId="19" xfId="0" applyFont="1" applyFill="1" applyBorder="1"/>
    <xf numFmtId="0" fontId="38" fillId="12" borderId="38" xfId="0" applyFont="1" applyFill="1" applyBorder="1"/>
    <xf numFmtId="0" fontId="39" fillId="0" borderId="3" xfId="0" applyFont="1" applyBorder="1"/>
    <xf numFmtId="171" fontId="37" fillId="0" borderId="0" xfId="9" applyNumberFormat="1" applyFont="1" applyBorder="1"/>
    <xf numFmtId="171" fontId="37" fillId="0" borderId="4" xfId="9" applyNumberFormat="1" applyFont="1" applyBorder="1"/>
    <xf numFmtId="0" fontId="40" fillId="19" borderId="3" xfId="0" applyFont="1" applyFill="1" applyBorder="1"/>
    <xf numFmtId="171" fontId="38" fillId="19" borderId="0" xfId="9" applyNumberFormat="1" applyFont="1" applyFill="1" applyBorder="1"/>
    <xf numFmtId="171" fontId="38" fillId="19" borderId="4" xfId="9" applyNumberFormat="1" applyFont="1" applyFill="1" applyBorder="1"/>
    <xf numFmtId="0" fontId="40" fillId="0" borderId="3" xfId="0" applyFont="1" applyBorder="1"/>
    <xf numFmtId="171" fontId="38" fillId="0" borderId="0" xfId="9" applyNumberFormat="1" applyFont="1" applyFill="1" applyBorder="1"/>
    <xf numFmtId="171" fontId="37" fillId="0" borderId="0" xfId="9" applyNumberFormat="1" applyFont="1" applyFill="1" applyBorder="1"/>
    <xf numFmtId="10" fontId="38" fillId="0" borderId="0" xfId="10" applyNumberFormat="1" applyFont="1" applyFill="1" applyBorder="1"/>
    <xf numFmtId="0" fontId="38" fillId="0" borderId="3" xfId="0" applyFont="1" applyBorder="1"/>
    <xf numFmtId="9" fontId="37" fillId="0" borderId="0" xfId="10" applyFont="1" applyBorder="1"/>
    <xf numFmtId="9" fontId="37" fillId="0" borderId="4" xfId="10" applyFont="1" applyBorder="1"/>
    <xf numFmtId="0" fontId="37" fillId="0" borderId="3" xfId="0" applyFont="1" applyBorder="1"/>
    <xf numFmtId="0" fontId="39" fillId="0" borderId="5" xfId="0" applyFont="1" applyBorder="1"/>
    <xf numFmtId="0" fontId="37" fillId="0" borderId="14" xfId="0" applyFont="1" applyBorder="1"/>
    <xf numFmtId="0" fontId="37" fillId="0" borderId="6" xfId="0" applyFont="1" applyBorder="1"/>
    <xf numFmtId="0" fontId="39" fillId="0" borderId="0" xfId="0" applyFont="1"/>
    <xf numFmtId="0" fontId="36" fillId="0" borderId="15" xfId="0" applyFont="1" applyBorder="1"/>
    <xf numFmtId="0" fontId="37" fillId="0" borderId="2" xfId="0" applyFont="1" applyBorder="1"/>
    <xf numFmtId="0" fontId="38" fillId="0" borderId="2" xfId="0" applyFont="1" applyBorder="1" applyAlignment="1">
      <alignment horizontal="left" vertical="center"/>
    </xf>
    <xf numFmtId="0" fontId="38" fillId="0" borderId="13" xfId="0" applyFont="1" applyBorder="1" applyAlignment="1">
      <alignment horizontal="left" vertical="center" wrapText="1"/>
    </xf>
    <xf numFmtId="0" fontId="38" fillId="0" borderId="23" xfId="0" applyFont="1" applyBorder="1" applyAlignment="1">
      <alignment horizontal="left" vertical="center" wrapText="1"/>
    </xf>
    <xf numFmtId="0" fontId="36" fillId="0" borderId="3" xfId="0" applyFont="1" applyBorder="1" applyAlignment="1">
      <alignment horizontal="right"/>
    </xf>
    <xf numFmtId="0" fontId="36" fillId="0" borderId="3" xfId="0" applyFont="1" applyBorder="1"/>
    <xf numFmtId="43" fontId="37" fillId="0" borderId="0" xfId="0" applyNumberFormat="1" applyFont="1"/>
    <xf numFmtId="171" fontId="37" fillId="0" borderId="0" xfId="0" applyNumberFormat="1" applyFont="1"/>
    <xf numFmtId="0" fontId="37" fillId="0" borderId="4" xfId="0" applyFont="1" applyBorder="1"/>
    <xf numFmtId="43" fontId="37" fillId="0" borderId="4" xfId="0" applyNumberFormat="1" applyFont="1" applyBorder="1"/>
    <xf numFmtId="0" fontId="37" fillId="0" borderId="5" xfId="0" applyFont="1" applyBorder="1"/>
    <xf numFmtId="171" fontId="37" fillId="0" borderId="14" xfId="9" applyNumberFormat="1" applyFont="1" applyBorder="1"/>
    <xf numFmtId="171" fontId="37" fillId="0" borderId="14" xfId="0" applyNumberFormat="1" applyFont="1" applyBorder="1"/>
    <xf numFmtId="43" fontId="37" fillId="0" borderId="6" xfId="0" applyNumberFormat="1" applyFont="1" applyBorder="1"/>
    <xf numFmtId="1" fontId="41" fillId="0" borderId="0" xfId="0" applyNumberFormat="1" applyFont="1" applyAlignment="1">
      <alignment vertical="center" wrapText="1"/>
    </xf>
    <xf numFmtId="0" fontId="0" fillId="0" borderId="0" xfId="0" applyAlignment="1">
      <alignment vertical="top" wrapText="1"/>
    </xf>
    <xf numFmtId="0" fontId="34" fillId="0" borderId="0" xfId="0" applyFont="1" applyAlignment="1">
      <alignment vertical="top" wrapText="1"/>
    </xf>
    <xf numFmtId="0" fontId="37" fillId="0" borderId="0" xfId="0" applyFont="1" applyAlignment="1">
      <alignment wrapText="1"/>
    </xf>
    <xf numFmtId="0" fontId="38" fillId="0" borderId="0" xfId="0" applyFont="1"/>
    <xf numFmtId="0" fontId="38" fillId="0" borderId="4" xfId="0" applyFont="1" applyBorder="1"/>
    <xf numFmtId="10" fontId="37" fillId="0" borderId="0" xfId="0" applyNumberFormat="1" applyFont="1"/>
    <xf numFmtId="10" fontId="37" fillId="0" borderId="4" xfId="0" applyNumberFormat="1" applyFont="1" applyBorder="1"/>
    <xf numFmtId="10" fontId="39" fillId="0" borderId="0" xfId="0" applyNumberFormat="1" applyFont="1" applyAlignment="1">
      <alignment horizontal="center"/>
    </xf>
    <xf numFmtId="10" fontId="42" fillId="12" borderId="0" xfId="0" applyNumberFormat="1" applyFont="1" applyFill="1" applyAlignment="1">
      <alignment horizontal="right"/>
    </xf>
    <xf numFmtId="10" fontId="39" fillId="0" borderId="4" xfId="0" applyNumberFormat="1" applyFont="1" applyBorder="1" applyAlignment="1">
      <alignment horizontal="center"/>
    </xf>
    <xf numFmtId="10" fontId="39" fillId="0" borderId="10" xfId="0" applyNumberFormat="1" applyFont="1" applyBorder="1" applyAlignment="1">
      <alignment horizontal="center"/>
    </xf>
    <xf numFmtId="9" fontId="37" fillId="0" borderId="0" xfId="10" applyFont="1"/>
    <xf numFmtId="0" fontId="37" fillId="0" borderId="3" xfId="0" applyFont="1" applyBorder="1" applyAlignment="1">
      <alignment horizontal="left" indent="1"/>
    </xf>
    <xf numFmtId="9" fontId="37" fillId="0" borderId="0" xfId="0" applyNumberFormat="1" applyFont="1"/>
    <xf numFmtId="0" fontId="37" fillId="0" borderId="5" xfId="0" applyFont="1" applyBorder="1" applyAlignment="1">
      <alignment horizontal="left" indent="1"/>
    </xf>
    <xf numFmtId="9" fontId="37" fillId="0" borderId="14" xfId="10" applyFont="1" applyBorder="1"/>
    <xf numFmtId="0" fontId="38" fillId="0" borderId="2" xfId="0" applyFont="1" applyBorder="1"/>
    <xf numFmtId="0" fontId="37" fillId="0" borderId="13" xfId="0" applyFont="1" applyBorder="1" applyAlignment="1">
      <alignment horizontal="left"/>
    </xf>
    <xf numFmtId="0" fontId="37" fillId="0" borderId="23" xfId="0" applyFont="1" applyBorder="1" applyAlignment="1">
      <alignment horizontal="left"/>
    </xf>
    <xf numFmtId="0" fontId="37" fillId="0" borderId="4" xfId="0" applyFont="1" applyBorder="1" applyAlignment="1">
      <alignment horizontal="left"/>
    </xf>
    <xf numFmtId="0" fontId="37" fillId="0" borderId="0" xfId="0" applyFont="1" applyAlignment="1">
      <alignment horizontal="left"/>
    </xf>
    <xf numFmtId="0" fontId="36" fillId="0" borderId="3" xfId="0" applyFont="1" applyBorder="1" applyAlignment="1">
      <alignment horizontal="left" indent="1"/>
    </xf>
    <xf numFmtId="0" fontId="38" fillId="0" borderId="0" xfId="0" applyFont="1" applyAlignment="1">
      <alignment horizontal="center"/>
    </xf>
    <xf numFmtId="0" fontId="38" fillId="0" borderId="4" xfId="0" applyFont="1" applyBorder="1" applyAlignment="1">
      <alignment horizontal="center"/>
    </xf>
    <xf numFmtId="10" fontId="37" fillId="0" borderId="0" xfId="0" applyNumberFormat="1" applyFont="1" applyAlignment="1">
      <alignment horizontal="center"/>
    </xf>
    <xf numFmtId="9" fontId="37" fillId="0" borderId="0" xfId="0" applyNumberFormat="1" applyFont="1" applyAlignment="1">
      <alignment horizontal="center"/>
    </xf>
    <xf numFmtId="10" fontId="37" fillId="0" borderId="4" xfId="0" applyNumberFormat="1" applyFont="1" applyBorder="1" applyAlignment="1">
      <alignment horizontal="center"/>
    </xf>
    <xf numFmtId="10" fontId="37" fillId="0" borderId="14" xfId="0" applyNumberFormat="1" applyFont="1" applyBorder="1" applyAlignment="1">
      <alignment horizontal="center"/>
    </xf>
    <xf numFmtId="9" fontId="37" fillId="0" borderId="14" xfId="0" applyNumberFormat="1" applyFont="1" applyBorder="1" applyAlignment="1">
      <alignment horizontal="center"/>
    </xf>
    <xf numFmtId="10" fontId="37" fillId="0" borderId="6" xfId="0" applyNumberFormat="1" applyFont="1" applyBorder="1" applyAlignment="1">
      <alignment horizontal="center"/>
    </xf>
    <xf numFmtId="0" fontId="39" fillId="0" borderId="7" xfId="11" applyFont="1" applyBorder="1"/>
    <xf numFmtId="0" fontId="39" fillId="0" borderId="0" xfId="11" applyFont="1" applyAlignment="1">
      <alignment horizontal="right" wrapText="1"/>
    </xf>
    <xf numFmtId="0" fontId="40" fillId="0" borderId="9" xfId="11" applyFont="1" applyBorder="1" applyAlignment="1">
      <alignment horizontal="left" vertical="top" wrapText="1"/>
    </xf>
    <xf numFmtId="0" fontId="39" fillId="0" borderId="15" xfId="11" applyFont="1" applyBorder="1" applyAlignment="1">
      <alignment horizontal="right" vertical="top" wrapText="1"/>
    </xf>
    <xf numFmtId="0" fontId="39" fillId="0" borderId="16" xfId="11" applyFont="1" applyBorder="1" applyAlignment="1">
      <alignment horizontal="right" vertical="top" wrapText="1"/>
    </xf>
    <xf numFmtId="3" fontId="39" fillId="0" borderId="16" xfId="11" applyNumberFormat="1" applyFont="1" applyBorder="1" applyAlignment="1">
      <alignment horizontal="right" vertical="top" wrapText="1"/>
    </xf>
    <xf numFmtId="3" fontId="39" fillId="0" borderId="40" xfId="11" applyNumberFormat="1" applyFont="1" applyBorder="1" applyAlignment="1">
      <alignment vertical="top" wrapText="1"/>
    </xf>
    <xf numFmtId="0" fontId="40" fillId="0" borderId="41" xfId="11" applyFont="1" applyBorder="1" applyAlignment="1">
      <alignment horizontal="left" vertical="top" wrapText="1"/>
    </xf>
    <xf numFmtId="0" fontId="39" fillId="0" borderId="5" xfId="11" applyFont="1" applyBorder="1" applyAlignment="1">
      <alignment horizontal="right" vertical="top" wrapText="1"/>
    </xf>
    <xf numFmtId="0" fontId="39" fillId="0" borderId="14" xfId="11" applyFont="1" applyBorder="1" applyAlignment="1">
      <alignment horizontal="right" vertical="top" wrapText="1"/>
    </xf>
    <xf numFmtId="3" fontId="39" fillId="0" borderId="14" xfId="11" applyNumberFormat="1" applyFont="1" applyBorder="1" applyAlignment="1">
      <alignment horizontal="right" vertical="top" wrapText="1"/>
    </xf>
    <xf numFmtId="3" fontId="39" fillId="0" borderId="42" xfId="11" applyNumberFormat="1" applyFont="1" applyBorder="1" applyAlignment="1">
      <alignment vertical="top" wrapText="1"/>
    </xf>
    <xf numFmtId="0" fontId="39" fillId="0" borderId="9" xfId="11" applyFont="1" applyBorder="1"/>
    <xf numFmtId="0" fontId="39" fillId="0" borderId="0" xfId="11" applyFont="1"/>
    <xf numFmtId="0" fontId="39" fillId="0" borderId="10" xfId="11" applyFont="1" applyBorder="1"/>
    <xf numFmtId="0" fontId="40" fillId="0" borderId="43" xfId="11" applyFont="1" applyBorder="1" applyAlignment="1">
      <alignment horizontal="left"/>
    </xf>
    <xf numFmtId="0" fontId="40" fillId="0" borderId="13" xfId="11" applyFont="1" applyBorder="1" applyAlignment="1">
      <alignment horizontal="left"/>
    </xf>
    <xf numFmtId="2" fontId="40" fillId="0" borderId="40" xfId="11" applyNumberFormat="1" applyFont="1" applyBorder="1" applyAlignment="1">
      <alignment horizontal="center" vertical="center"/>
    </xf>
    <xf numFmtId="0" fontId="38" fillId="19" borderId="0" xfId="9" applyNumberFormat="1" applyFont="1" applyFill="1" applyBorder="1"/>
    <xf numFmtId="172" fontId="37" fillId="0" borderId="0" xfId="10" applyNumberFormat="1" applyFont="1" applyBorder="1"/>
    <xf numFmtId="10" fontId="37" fillId="0" borderId="0" xfId="10" applyNumberFormat="1" applyFont="1" applyBorder="1"/>
    <xf numFmtId="10" fontId="37" fillId="16" borderId="0" xfId="0" applyNumberFormat="1" applyFont="1" applyFill="1"/>
    <xf numFmtId="0" fontId="36" fillId="0" borderId="0" xfId="0" applyFont="1" applyAlignment="1">
      <alignment horizontal="left" indent="1"/>
    </xf>
    <xf numFmtId="2" fontId="38" fillId="0" borderId="0" xfId="0" applyNumberFormat="1" applyFont="1" applyAlignment="1">
      <alignment horizontal="left"/>
    </xf>
    <xf numFmtId="0" fontId="38" fillId="12" borderId="0" xfId="0" applyFont="1" applyFill="1"/>
    <xf numFmtId="0" fontId="36" fillId="0" borderId="13" xfId="0" applyFont="1" applyBorder="1"/>
    <xf numFmtId="172" fontId="36" fillId="0" borderId="23" xfId="10" applyNumberFormat="1" applyFont="1" applyBorder="1"/>
    <xf numFmtId="0" fontId="38" fillId="0" borderId="16" xfId="0" applyFont="1" applyBorder="1" applyAlignment="1">
      <alignment horizontal="center"/>
    </xf>
    <xf numFmtId="0" fontId="38" fillId="0" borderId="2" xfId="0" applyFont="1" applyBorder="1" applyAlignment="1">
      <alignment horizontal="left" vertical="center" wrapText="1"/>
    </xf>
    <xf numFmtId="171" fontId="36" fillId="0" borderId="3" xfId="9" applyNumberFormat="1" applyFont="1" applyBorder="1"/>
    <xf numFmtId="171" fontId="36" fillId="0" borderId="0" xfId="0" applyNumberFormat="1" applyFont="1"/>
    <xf numFmtId="171" fontId="37" fillId="0" borderId="3" xfId="9" applyNumberFormat="1" applyFont="1" applyBorder="1"/>
    <xf numFmtId="171" fontId="37" fillId="0" borderId="5" xfId="9" applyNumberFormat="1" applyFont="1" applyBorder="1"/>
    <xf numFmtId="171" fontId="37" fillId="0" borderId="4" xfId="0" applyNumberFormat="1" applyFont="1" applyBorder="1"/>
    <xf numFmtId="171" fontId="37" fillId="0" borderId="6" xfId="0" applyNumberFormat="1" applyFont="1" applyBorder="1"/>
    <xf numFmtId="171" fontId="37" fillId="0" borderId="2" xfId="9" applyNumberFormat="1" applyFont="1" applyBorder="1"/>
    <xf numFmtId="171" fontId="37" fillId="0" borderId="13" xfId="9" applyNumberFormat="1" applyFont="1" applyBorder="1"/>
    <xf numFmtId="171" fontId="37" fillId="0" borderId="13" xfId="0" applyNumberFormat="1" applyFont="1" applyBorder="1"/>
    <xf numFmtId="43" fontId="37" fillId="0" borderId="23" xfId="0" applyNumberFormat="1" applyFont="1" applyBorder="1"/>
    <xf numFmtId="171" fontId="36" fillId="0" borderId="2" xfId="9" applyNumberFormat="1" applyFont="1" applyBorder="1"/>
    <xf numFmtId="171" fontId="36" fillId="0" borderId="13" xfId="9" applyNumberFormat="1" applyFont="1" applyBorder="1"/>
    <xf numFmtId="171" fontId="36" fillId="0" borderId="13" xfId="0" applyNumberFormat="1" applyFont="1" applyBorder="1"/>
    <xf numFmtId="171" fontId="36" fillId="0" borderId="14" xfId="9" applyNumberFormat="1" applyFont="1" applyBorder="1"/>
    <xf numFmtId="43" fontId="37" fillId="0" borderId="3" xfId="0" applyNumberFormat="1" applyFont="1" applyBorder="1"/>
    <xf numFmtId="171" fontId="37" fillId="0" borderId="3" xfId="0" applyNumberFormat="1" applyFont="1" applyBorder="1"/>
    <xf numFmtId="43" fontId="37" fillId="0" borderId="13" xfId="0" applyNumberFormat="1" applyFont="1" applyBorder="1"/>
    <xf numFmtId="0" fontId="0" fillId="16" borderId="0" xfId="0" applyFill="1"/>
    <xf numFmtId="171" fontId="37" fillId="16" borderId="0" xfId="9" applyNumberFormat="1" applyFont="1" applyFill="1" applyBorder="1"/>
    <xf numFmtId="171" fontId="37" fillId="16" borderId="0" xfId="0" applyNumberFormat="1" applyFont="1" applyFill="1"/>
    <xf numFmtId="171" fontId="37" fillId="20" borderId="0" xfId="0" applyNumberFormat="1" applyFont="1" applyFill="1"/>
    <xf numFmtId="43" fontId="37" fillId="16" borderId="4" xfId="0" applyNumberFormat="1" applyFont="1" applyFill="1" applyBorder="1"/>
    <xf numFmtId="0" fontId="33" fillId="15" borderId="45" xfId="0" applyFont="1" applyFill="1" applyBorder="1" applyAlignment="1">
      <alignment horizontal="left" vertical="center" wrapText="1" readingOrder="1"/>
    </xf>
    <xf numFmtId="167" fontId="0" fillId="21" borderId="1" xfId="0" applyNumberFormat="1" applyFill="1" applyBorder="1" applyAlignment="1">
      <alignment vertical="top" wrapText="1"/>
    </xf>
    <xf numFmtId="0" fontId="38" fillId="0" borderId="17" xfId="0" applyFont="1" applyBorder="1" applyAlignment="1">
      <alignment horizontal="left" vertical="center" wrapText="1"/>
    </xf>
    <xf numFmtId="0" fontId="37" fillId="4" borderId="5" xfId="0" applyFont="1" applyFill="1" applyBorder="1"/>
    <xf numFmtId="0" fontId="37" fillId="4" borderId="3" xfId="0" applyFont="1" applyFill="1" applyBorder="1"/>
    <xf numFmtId="171" fontId="37" fillId="4" borderId="3" xfId="9" applyNumberFormat="1" applyFont="1" applyFill="1" applyBorder="1"/>
    <xf numFmtId="171" fontId="37" fillId="4" borderId="0" xfId="9" applyNumberFormat="1" applyFont="1" applyFill="1" applyBorder="1"/>
    <xf numFmtId="171" fontId="36" fillId="4" borderId="0" xfId="9" applyNumberFormat="1" applyFont="1" applyFill="1" applyBorder="1"/>
    <xf numFmtId="171" fontId="37" fillId="4" borderId="0" xfId="0" applyNumberFormat="1" applyFont="1" applyFill="1"/>
    <xf numFmtId="171" fontId="37" fillId="4" borderId="4" xfId="0" applyNumberFormat="1" applyFont="1" applyFill="1" applyBorder="1"/>
    <xf numFmtId="43" fontId="37" fillId="4" borderId="4" xfId="0" applyNumberFormat="1" applyFont="1" applyFill="1" applyBorder="1"/>
    <xf numFmtId="0" fontId="37" fillId="4" borderId="0" xfId="0" applyFont="1" applyFill="1"/>
    <xf numFmtId="171" fontId="37" fillId="4" borderId="5" xfId="9" applyNumberFormat="1" applyFont="1" applyFill="1" applyBorder="1"/>
    <xf numFmtId="171" fontId="37" fillId="4" borderId="14" xfId="9" applyNumberFormat="1" applyFont="1" applyFill="1" applyBorder="1"/>
    <xf numFmtId="171" fontId="36" fillId="4" borderId="14" xfId="9" applyNumberFormat="1" applyFont="1" applyFill="1" applyBorder="1"/>
    <xf numFmtId="171" fontId="37" fillId="4" borderId="14" xfId="0" applyNumberFormat="1" applyFont="1" applyFill="1" applyBorder="1"/>
    <xf numFmtId="171" fontId="37" fillId="4" borderId="6" xfId="0" applyNumberFormat="1" applyFont="1" applyFill="1" applyBorder="1"/>
    <xf numFmtId="43" fontId="37" fillId="4" borderId="0" xfId="0" applyNumberFormat="1" applyFont="1" applyFill="1"/>
    <xf numFmtId="1" fontId="9" fillId="5" borderId="1" xfId="0" applyNumberFormat="1" applyFont="1" applyFill="1" applyBorder="1"/>
    <xf numFmtId="0" fontId="2" fillId="16" borderId="1" xfId="0" applyFont="1" applyFill="1" applyBorder="1" applyAlignment="1">
      <alignment vertical="top"/>
    </xf>
    <xf numFmtId="164" fontId="2" fillId="16" borderId="1" xfId="0" applyNumberFormat="1" applyFont="1" applyFill="1" applyBorder="1"/>
    <xf numFmtId="0" fontId="2" fillId="16" borderId="1" xfId="0" applyFont="1" applyFill="1" applyBorder="1" applyAlignment="1">
      <alignment vertical="top" wrapText="1"/>
    </xf>
    <xf numFmtId="0" fontId="2" fillId="16" borderId="1" xfId="0" applyFont="1" applyFill="1" applyBorder="1" applyAlignment="1">
      <alignment vertical="center" wrapText="1"/>
    </xf>
    <xf numFmtId="8" fontId="2" fillId="16" borderId="1" xfId="0" applyNumberFormat="1" applyFont="1" applyFill="1" applyBorder="1" applyAlignment="1">
      <alignment horizontal="right" vertical="center" wrapText="1"/>
    </xf>
    <xf numFmtId="172" fontId="9" fillId="2" borderId="1" xfId="0" applyNumberFormat="1" applyFont="1" applyFill="1" applyBorder="1"/>
    <xf numFmtId="0" fontId="37" fillId="21" borderId="0" xfId="0" applyFont="1" applyFill="1"/>
    <xf numFmtId="171" fontId="37" fillId="21" borderId="0" xfId="9" applyNumberFormat="1" applyFont="1" applyFill="1" applyBorder="1"/>
    <xf numFmtId="3" fontId="32" fillId="21" borderId="0" xfId="0" applyNumberFormat="1" applyFont="1" applyFill="1" applyAlignment="1">
      <alignment wrapText="1"/>
    </xf>
    <xf numFmtId="171" fontId="37" fillId="21" borderId="4" xfId="9" applyNumberFormat="1" applyFont="1" applyFill="1" applyBorder="1"/>
    <xf numFmtId="0" fontId="32" fillId="21" borderId="0" xfId="0" applyFont="1" applyFill="1" applyAlignment="1">
      <alignment wrapText="1"/>
    </xf>
    <xf numFmtId="0" fontId="39" fillId="22" borderId="3" xfId="0" applyFont="1" applyFill="1" applyBorder="1"/>
    <xf numFmtId="1" fontId="41" fillId="22" borderId="0" xfId="0" applyNumberFormat="1" applyFont="1" applyFill="1" applyAlignment="1">
      <alignment vertical="center" wrapText="1"/>
    </xf>
    <xf numFmtId="0" fontId="37" fillId="22" borderId="0" xfId="0" applyFont="1" applyFill="1"/>
    <xf numFmtId="171" fontId="37" fillId="22" borderId="0" xfId="9" applyNumberFormat="1" applyFont="1" applyFill="1" applyBorder="1"/>
    <xf numFmtId="171" fontId="37" fillId="22" borderId="4" xfId="9" applyNumberFormat="1" applyFont="1" applyFill="1" applyBorder="1"/>
    <xf numFmtId="171" fontId="37" fillId="4" borderId="4" xfId="9" applyNumberFormat="1" applyFont="1" applyFill="1" applyBorder="1"/>
    <xf numFmtId="0" fontId="39" fillId="4" borderId="3" xfId="0" applyFont="1" applyFill="1" applyBorder="1"/>
    <xf numFmtId="0" fontId="37" fillId="16" borderId="3" xfId="0" applyFont="1" applyFill="1" applyBorder="1"/>
    <xf numFmtId="0" fontId="37" fillId="16" borderId="5" xfId="0" applyFont="1" applyFill="1" applyBorder="1"/>
    <xf numFmtId="0" fontId="0" fillId="0" borderId="0" xfId="0" applyAlignment="1">
      <alignment vertical="center" wrapText="1"/>
    </xf>
    <xf numFmtId="0" fontId="38" fillId="12" borderId="19" xfId="0" applyFont="1" applyFill="1" applyBorder="1" applyAlignment="1">
      <alignment horizontal="right"/>
    </xf>
    <xf numFmtId="0" fontId="45" fillId="0" borderId="0" xfId="0" applyFont="1" applyAlignment="1">
      <alignment vertical="center" wrapText="1"/>
    </xf>
    <xf numFmtId="3" fontId="0" fillId="16" borderId="0" xfId="0" applyNumberFormat="1" applyFill="1"/>
    <xf numFmtId="0" fontId="0" fillId="17" borderId="0" xfId="0" applyFill="1"/>
    <xf numFmtId="3" fontId="0" fillId="17" borderId="0" xfId="0" applyNumberFormat="1" applyFill="1"/>
    <xf numFmtId="0" fontId="34" fillId="18" borderId="17" xfId="0" applyFont="1" applyFill="1" applyBorder="1" applyAlignment="1">
      <alignment horizontal="left" vertical="center" wrapText="1" indent="1"/>
    </xf>
    <xf numFmtId="0" fontId="34" fillId="4" borderId="0" xfId="0" applyFont="1" applyFill="1" applyAlignment="1">
      <alignment horizontal="left" vertical="center" wrapText="1" indent="1"/>
    </xf>
    <xf numFmtId="0" fontId="0" fillId="4" borderId="0" xfId="0" applyFill="1" applyAlignment="1">
      <alignment wrapText="1"/>
    </xf>
    <xf numFmtId="0" fontId="0" fillId="16" borderId="1" xfId="0" applyFill="1" applyBorder="1"/>
    <xf numFmtId="0" fontId="0" fillId="17" borderId="1" xfId="0" applyFill="1" applyBorder="1"/>
    <xf numFmtId="3" fontId="0" fillId="16" borderId="1" xfId="0" applyNumberFormat="1" applyFill="1" applyBorder="1"/>
    <xf numFmtId="3" fontId="0" fillId="17" borderId="1" xfId="0" applyNumberFormat="1" applyFill="1" applyBorder="1"/>
    <xf numFmtId="10" fontId="0" fillId="16" borderId="1" xfId="0" applyNumberFormat="1" applyFill="1" applyBorder="1"/>
    <xf numFmtId="10" fontId="0" fillId="17" borderId="1" xfId="0" applyNumberFormat="1" applyFill="1" applyBorder="1"/>
    <xf numFmtId="0" fontId="46" fillId="17" borderId="36" xfId="0" applyFont="1" applyFill="1" applyBorder="1" applyAlignment="1">
      <alignment horizontal="left" vertical="center" wrapText="1" readingOrder="1"/>
    </xf>
    <xf numFmtId="0" fontId="46" fillId="17" borderId="37" xfId="0" applyFont="1" applyFill="1" applyBorder="1" applyAlignment="1">
      <alignment horizontal="left" vertical="center" wrapText="1" readingOrder="1"/>
    </xf>
    <xf numFmtId="44" fontId="0" fillId="0" borderId="0" xfId="2" applyFont="1"/>
    <xf numFmtId="3" fontId="0" fillId="0" borderId="0" xfId="0" applyNumberFormat="1"/>
    <xf numFmtId="44" fontId="9" fillId="2" borderId="2" xfId="0" applyNumberFormat="1" applyFont="1" applyFill="1" applyBorder="1"/>
    <xf numFmtId="0" fontId="38" fillId="4" borderId="13" xfId="0" applyFont="1" applyFill="1" applyBorder="1" applyAlignment="1">
      <alignment horizontal="left" vertical="center" wrapText="1"/>
    </xf>
    <xf numFmtId="43" fontId="37" fillId="16" borderId="0" xfId="9" applyFont="1" applyFill="1" applyBorder="1"/>
    <xf numFmtId="1" fontId="37" fillId="4" borderId="0" xfId="9" applyNumberFormat="1" applyFont="1" applyFill="1" applyBorder="1"/>
    <xf numFmtId="1" fontId="0" fillId="0" borderId="0" xfId="0" applyNumberFormat="1" applyAlignment="1">
      <alignment vertical="center" wrapText="1"/>
    </xf>
    <xf numFmtId="1" fontId="45" fillId="0" borderId="0" xfId="0" applyNumberFormat="1" applyFont="1" applyAlignment="1">
      <alignment vertical="center" wrapText="1"/>
    </xf>
    <xf numFmtId="0" fontId="39" fillId="4" borderId="5" xfId="0" applyFont="1" applyFill="1" applyBorder="1"/>
    <xf numFmtId="3" fontId="47" fillId="0" borderId="0" xfId="0" applyNumberFormat="1" applyFont="1"/>
    <xf numFmtId="0" fontId="47" fillId="0" borderId="0" xfId="0" applyFont="1"/>
    <xf numFmtId="172" fontId="36" fillId="4" borderId="23" xfId="10" applyNumberFormat="1" applyFont="1" applyFill="1" applyBorder="1"/>
    <xf numFmtId="3" fontId="38" fillId="19" borderId="0" xfId="9" applyNumberFormat="1" applyFont="1" applyFill="1" applyBorder="1"/>
    <xf numFmtId="171" fontId="37" fillId="0" borderId="0" xfId="9" applyNumberFormat="1" applyFont="1" applyBorder="1" applyAlignment="1">
      <alignment horizontal="center"/>
    </xf>
    <xf numFmtId="1" fontId="37" fillId="0" borderId="0" xfId="9" applyNumberFormat="1" applyFont="1" applyFill="1" applyBorder="1"/>
    <xf numFmtId="165" fontId="0" fillId="0" borderId="0" xfId="0" applyNumberFormat="1"/>
    <xf numFmtId="0" fontId="1" fillId="17" borderId="46" xfId="1" applyFill="1" applyBorder="1" applyAlignment="1">
      <alignment vertical="center" wrapText="1"/>
    </xf>
    <xf numFmtId="0" fontId="1" fillId="17" borderId="47" xfId="1" applyFill="1" applyBorder="1" applyAlignment="1">
      <alignment vertical="center" wrapText="1"/>
    </xf>
    <xf numFmtId="173" fontId="0" fillId="4" borderId="0" xfId="0" applyNumberFormat="1" applyFill="1"/>
    <xf numFmtId="0" fontId="32" fillId="4" borderId="0" xfId="0" applyFont="1" applyFill="1"/>
    <xf numFmtId="3" fontId="0" fillId="22" borderId="0" xfId="0" applyNumberFormat="1" applyFill="1" applyAlignment="1">
      <alignment wrapText="1"/>
    </xf>
    <xf numFmtId="0" fontId="0" fillId="22" borderId="0" xfId="0" applyFill="1" applyAlignment="1">
      <alignment wrapText="1"/>
    </xf>
    <xf numFmtId="0" fontId="48" fillId="0" borderId="0" xfId="0" applyFont="1" applyAlignment="1">
      <alignment vertical="center"/>
    </xf>
    <xf numFmtId="0" fontId="1" fillId="0" borderId="0" xfId="1" applyAlignment="1">
      <alignment vertical="center"/>
    </xf>
    <xf numFmtId="0" fontId="32" fillId="0" borderId="0" xfId="0" applyFont="1" applyAlignment="1">
      <alignment horizontal="center"/>
    </xf>
    <xf numFmtId="0" fontId="32" fillId="0" borderId="1" xfId="0" applyFont="1" applyBorder="1"/>
    <xf numFmtId="0" fontId="0" fillId="0" borderId="1" xfId="0" applyBorder="1"/>
    <xf numFmtId="165" fontId="0" fillId="0" borderId="1" xfId="0" applyNumberFormat="1" applyBorder="1"/>
    <xf numFmtId="0" fontId="46" fillId="17" borderId="1" xfId="0" applyFont="1" applyFill="1" applyBorder="1" applyAlignment="1">
      <alignment horizontal="left" vertical="center" wrapText="1" readingOrder="1"/>
    </xf>
    <xf numFmtId="0" fontId="46" fillId="4" borderId="1" xfId="0" applyFont="1" applyFill="1" applyBorder="1" applyAlignment="1">
      <alignment horizontal="left" vertical="center" wrapText="1" readingOrder="1"/>
    </xf>
    <xf numFmtId="0" fontId="45" fillId="0" borderId="1" xfId="0" applyFont="1" applyBorder="1"/>
    <xf numFmtId="0" fontId="45" fillId="4" borderId="1" xfId="0" applyFont="1" applyFill="1" applyBorder="1"/>
    <xf numFmtId="165" fontId="45" fillId="0" borderId="1" xfId="0" applyNumberFormat="1" applyFont="1" applyBorder="1"/>
    <xf numFmtId="0" fontId="0" fillId="0" borderId="1" xfId="0" applyBorder="1" applyAlignment="1">
      <alignment horizontal="right"/>
    </xf>
    <xf numFmtId="2" fontId="0" fillId="22" borderId="0" xfId="0" applyNumberFormat="1" applyFill="1"/>
    <xf numFmtId="1" fontId="0" fillId="4" borderId="0" xfId="0" applyNumberFormat="1" applyFill="1"/>
    <xf numFmtId="0" fontId="37" fillId="23" borderId="0" xfId="0" applyFont="1" applyFill="1"/>
    <xf numFmtId="167" fontId="0" fillId="0" borderId="1" xfId="0" applyNumberFormat="1" applyBorder="1" applyAlignment="1">
      <alignment vertical="top" wrapText="1"/>
    </xf>
    <xf numFmtId="165" fontId="32" fillId="0" borderId="1" xfId="0" applyNumberFormat="1" applyFont="1" applyBorder="1"/>
    <xf numFmtId="0" fontId="38" fillId="0" borderId="2" xfId="0" applyFont="1" applyBorder="1" applyAlignment="1">
      <alignment horizontal="left"/>
    </xf>
    <xf numFmtId="0" fontId="38" fillId="0" borderId="13" xfId="0" applyFont="1" applyBorder="1" applyAlignment="1">
      <alignment horizontal="left"/>
    </xf>
    <xf numFmtId="0" fontId="38" fillId="0" borderId="15" xfId="0" applyFont="1" applyBorder="1" applyAlignment="1">
      <alignment horizontal="center"/>
    </xf>
    <xf numFmtId="0" fontId="38" fillId="0" borderId="16" xfId="0" applyFont="1" applyBorder="1" applyAlignment="1">
      <alignment horizontal="center"/>
    </xf>
    <xf numFmtId="0" fontId="38" fillId="0" borderId="17" xfId="0" applyFont="1" applyBorder="1" applyAlignment="1">
      <alignment horizontal="center"/>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2" fillId="9" borderId="1" xfId="0" applyFont="1" applyFill="1" applyBorder="1" applyAlignment="1">
      <alignmen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0" fontId="40" fillId="0" borderId="43" xfId="11" applyFont="1" applyBorder="1" applyAlignment="1">
      <alignment horizontal="left"/>
    </xf>
    <xf numFmtId="0" fontId="40" fillId="0" borderId="13" xfId="11" applyFont="1" applyBorder="1" applyAlignment="1">
      <alignment horizontal="left"/>
    </xf>
    <xf numFmtId="0" fontId="43" fillId="0" borderId="44" xfId="11" applyFont="1" applyBorder="1" applyAlignment="1">
      <alignment horizontal="left" vertical="top" wrapText="1"/>
    </xf>
    <xf numFmtId="0" fontId="43" fillId="0" borderId="16" xfId="11" applyFont="1" applyBorder="1" applyAlignment="1">
      <alignment horizontal="left" vertical="top" wrapText="1"/>
    </xf>
    <xf numFmtId="0" fontId="38" fillId="0" borderId="2" xfId="0" applyFont="1" applyBorder="1" applyAlignment="1">
      <alignment horizontal="center"/>
    </xf>
    <xf numFmtId="0" fontId="38" fillId="0" borderId="13" xfId="0" applyFont="1" applyBorder="1" applyAlignment="1">
      <alignment horizontal="center"/>
    </xf>
    <xf numFmtId="0" fontId="38" fillId="0" borderId="23" xfId="0" applyFont="1" applyBorder="1" applyAlignment="1">
      <alignment horizontal="center"/>
    </xf>
    <xf numFmtId="0" fontId="40" fillId="0" borderId="18" xfId="11" applyFont="1" applyBorder="1" applyAlignment="1">
      <alignment horizontal="center" vertical="top" wrapText="1"/>
    </xf>
    <xf numFmtId="0" fontId="40" fillId="0" borderId="8" xfId="11" applyFont="1" applyBorder="1" applyAlignment="1">
      <alignment horizontal="center" vertical="top" wrapText="1"/>
    </xf>
    <xf numFmtId="0" fontId="39" fillId="0" borderId="33" xfId="11" applyFont="1" applyBorder="1" applyAlignment="1">
      <alignment horizontal="left" wrapText="1"/>
    </xf>
    <xf numFmtId="0" fontId="39" fillId="0" borderId="34" xfId="0" applyFont="1" applyBorder="1" applyAlignment="1">
      <alignment horizontal="left" wrapText="1"/>
    </xf>
    <xf numFmtId="0" fontId="39" fillId="0" borderId="13" xfId="11" applyFont="1" applyBorder="1" applyAlignment="1">
      <alignment horizontal="center" vertical="top" wrapText="1"/>
    </xf>
    <xf numFmtId="0" fontId="39" fillId="0" borderId="39" xfId="11" applyFont="1" applyBorder="1" applyAlignment="1">
      <alignment horizontal="center" vertical="top" wrapText="1"/>
    </xf>
    <xf numFmtId="0" fontId="39" fillId="0" borderId="10" xfId="11" applyFont="1" applyBorder="1" applyAlignment="1">
      <alignment horizontal="center" vertical="top" wrapText="1"/>
    </xf>
    <xf numFmtId="0" fontId="0" fillId="0" borderId="0" xfId="0" applyAlignment="1">
      <alignment vertical="top" wrapText="1"/>
    </xf>
    <xf numFmtId="0" fontId="0" fillId="16" borderId="1" xfId="0" applyFill="1" applyBorder="1" applyAlignment="1">
      <alignment horizontal="center"/>
    </xf>
    <xf numFmtId="0" fontId="0" fillId="17" borderId="1" xfId="0" applyFill="1" applyBorder="1" applyAlignment="1">
      <alignment horizontal="center"/>
    </xf>
    <xf numFmtId="6" fontId="9" fillId="4" borderId="0" xfId="0" applyNumberFormat="1" applyFont="1" applyFill="1" applyAlignment="1">
      <alignment horizontal="left" vertical="center" wrapText="1"/>
    </xf>
  </cellXfs>
  <cellStyles count="12">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2 3" xfId="11" xr:uid="{EB6BB7CF-C262-41FB-8023-EF4C87F7EE9E}"/>
    <cellStyle name="Normal 7" xfId="6" xr:uid="{39C09B7B-9AFF-4A61-96F1-6C02C073A05F}"/>
    <cellStyle name="Note" xfId="8" builtinId="10"/>
    <cellStyle name="Percent" xfId="10" builtinId="5"/>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2049683</xdr:colOff>
      <xdr:row>12</xdr:row>
      <xdr:rowOff>22860</xdr:rowOff>
    </xdr:from>
    <xdr:to>
      <xdr:col>6</xdr:col>
      <xdr:colOff>1297081</xdr:colOff>
      <xdr:row>26</xdr:row>
      <xdr:rowOff>38690</xdr:rowOff>
    </xdr:to>
    <xdr:pic>
      <xdr:nvPicPr>
        <xdr:cNvPr id="2" name="Picture 1">
          <a:extLst>
            <a:ext uri="{FF2B5EF4-FFF2-40B4-BE49-F238E27FC236}">
              <a16:creationId xmlns:a16="http://schemas.microsoft.com/office/drawing/2014/main" id="{4155719B-E063-46C2-9193-876B212273B7}"/>
            </a:ext>
          </a:extLst>
        </xdr:cNvPr>
        <xdr:cNvPicPr>
          <a:picLocks noChangeAspect="1"/>
        </xdr:cNvPicPr>
      </xdr:nvPicPr>
      <xdr:blipFill>
        <a:blip xmlns:r="http://schemas.openxmlformats.org/officeDocument/2006/relationships" r:embed="rId1"/>
        <a:stretch>
          <a:fillRect/>
        </a:stretch>
      </xdr:blipFill>
      <xdr:spPr>
        <a:xfrm>
          <a:off x="9593483" y="3048000"/>
          <a:ext cx="3666998" cy="2606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421945</xdr:colOff>
      <xdr:row>1</xdr:row>
      <xdr:rowOff>0</xdr:rowOff>
    </xdr:from>
    <xdr:to>
      <xdr:col>42</xdr:col>
      <xdr:colOff>168062</xdr:colOff>
      <xdr:row>26</xdr:row>
      <xdr:rowOff>1124</xdr:rowOff>
    </xdr:to>
    <xdr:pic>
      <xdr:nvPicPr>
        <xdr:cNvPr id="2" name="Picture 1">
          <a:extLst>
            <a:ext uri="{FF2B5EF4-FFF2-40B4-BE49-F238E27FC236}">
              <a16:creationId xmlns:a16="http://schemas.microsoft.com/office/drawing/2014/main" id="{4FF5B1B2-7357-4A9F-AC43-214E5EC2AFE5}"/>
            </a:ext>
          </a:extLst>
        </xdr:cNvPr>
        <xdr:cNvPicPr>
          <a:picLocks noChangeAspect="1"/>
        </xdr:cNvPicPr>
      </xdr:nvPicPr>
      <xdr:blipFill>
        <a:blip xmlns:r="http://schemas.openxmlformats.org/officeDocument/2006/relationships" r:embed="rId1"/>
        <a:stretch>
          <a:fillRect/>
        </a:stretch>
      </xdr:blipFill>
      <xdr:spPr>
        <a:xfrm>
          <a:off x="24813565" y="167640"/>
          <a:ext cx="17414992" cy="4588364"/>
        </a:xfrm>
        <a:prstGeom prst="rect">
          <a:avLst/>
        </a:prstGeom>
      </xdr:spPr>
    </xdr:pic>
    <xdr:clientData/>
  </xdr:twoCellAnchor>
  <xdr:twoCellAnchor editAs="oneCell">
    <xdr:from>
      <xdr:col>1</xdr:col>
      <xdr:colOff>807720</xdr:colOff>
      <xdr:row>52</xdr:row>
      <xdr:rowOff>4929</xdr:rowOff>
    </xdr:from>
    <xdr:to>
      <xdr:col>4</xdr:col>
      <xdr:colOff>1288067</xdr:colOff>
      <xdr:row>70</xdr:row>
      <xdr:rowOff>134661</xdr:rowOff>
    </xdr:to>
    <xdr:pic>
      <xdr:nvPicPr>
        <xdr:cNvPr id="3" name="Picture 2">
          <a:extLst>
            <a:ext uri="{FF2B5EF4-FFF2-40B4-BE49-F238E27FC236}">
              <a16:creationId xmlns:a16="http://schemas.microsoft.com/office/drawing/2014/main" id="{4215AC10-6F2C-4B80-904D-2A89738E15BB}"/>
            </a:ext>
          </a:extLst>
        </xdr:cNvPr>
        <xdr:cNvPicPr>
          <a:picLocks noChangeAspect="1"/>
        </xdr:cNvPicPr>
      </xdr:nvPicPr>
      <xdr:blipFill>
        <a:blip xmlns:r="http://schemas.openxmlformats.org/officeDocument/2006/relationships" r:embed="rId2"/>
        <a:stretch>
          <a:fillRect/>
        </a:stretch>
      </xdr:blipFill>
      <xdr:spPr>
        <a:xfrm>
          <a:off x="1432560" y="10459569"/>
          <a:ext cx="10616852" cy="31472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hb\gbl\proj\Raleigh\38870.30%20NCDOT_Ped%20Flex%202\tech\Lumberton%20RAISE%20II\2023%20SAFE%20Lumberton\Final%20Submission\NCDOT%20Web%20FIles\BCA%20Calculations.xlsx" TargetMode="External"/><Relationship Id="rId1" Type="http://schemas.openxmlformats.org/officeDocument/2006/relationships/externalLinkPath" Target="/proj/Raleigh/38870.30%20NCDOT_Ped%20Flex%202/tech/Lumberton%20RAISE%20II/2023%20SAFE%20Lumberton/Final%20Submission/NCDOT%20Web%20FIles/BCA%20Calc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CA"/>
      <sheetName val="Pop. and Mode Share Projections"/>
      <sheetName val="Trip Multipliers"/>
      <sheetName val="Safety and Crash Costs"/>
      <sheetName val="Safety CMFs"/>
      <sheetName val="Pedestrian Journey Quality"/>
      <sheetName val="Health - Mortality"/>
      <sheetName val="Health-Enviro - Emissions"/>
      <sheetName val="Economic Activity"/>
      <sheetName val="Residual Value"/>
      <sheetName val="State of Good Repair O&amp;M"/>
      <sheetName val="Capital Expenditures"/>
      <sheetName val="RAW_Commute_Time"/>
      <sheetName val="RAW_B08301"/>
      <sheetName val="RAW_B01001"/>
    </sheetNames>
    <sheetDataSet>
      <sheetData sheetId="0"/>
      <sheetData sheetId="1"/>
      <sheetData sheetId="2">
        <row r="9">
          <cell r="J9">
            <v>0.87232634211160542</v>
          </cell>
        </row>
        <row r="10">
          <cell r="J10">
            <v>0.8952704594131482</v>
          </cell>
        </row>
        <row r="25">
          <cell r="C25">
            <v>0.72</v>
          </cell>
        </row>
        <row r="26">
          <cell r="C26">
            <v>0.83</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David Greif" id="{6826A16D-B9D6-40F8-B27E-FDE1B356DE69}" userId="S::dgreif@vhb.com::44869fb4-cde9-4bef-a03d-c2e52c8c57b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6" dT="2024-12-26T14:09:53.57" personId="{6826A16D-B9D6-40F8-B27E-FDE1B356DE69}" id="{954C2B13-42F6-41CF-B3EA-AA43626CF3F1}">
    <text>Complete construction estimate?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ncdot.gov/bikeped/walkbikenc/pictures/EconomyImpact-Analysi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nnect.ncdot.gov/resources/safety/TrafficSafetyResources/NCDOT%20CRF%20Update.pdf" TargetMode="External"/><Relationship Id="rId1" Type="http://schemas.openxmlformats.org/officeDocument/2006/relationships/hyperlink" Target="https://connect.ncdot.gov/resources/safety/TrafficSafetyResources/NCDOT%20CRF%20Update.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0D152-1995-4567-A444-4A2A23DEBEC5}">
  <dimension ref="A2:U60"/>
  <sheetViews>
    <sheetView topLeftCell="I30" workbookViewId="0">
      <selection activeCell="C25" sqref="C25"/>
    </sheetView>
  </sheetViews>
  <sheetFormatPr defaultColWidth="9.140625" defaultRowHeight="12.75"/>
  <cols>
    <col min="1" max="1" width="32.5703125" style="183" bestFit="1" customWidth="1"/>
    <col min="2" max="2" width="12.140625" style="183" customWidth="1"/>
    <col min="3" max="3" width="16.140625" style="183" bestFit="1" customWidth="1"/>
    <col min="4" max="4" width="14.28515625" style="183" bestFit="1" customWidth="1"/>
    <col min="5" max="5" width="19.28515625" style="183" customWidth="1"/>
    <col min="6" max="6" width="14.28515625" style="183" bestFit="1" customWidth="1"/>
    <col min="7" max="7" width="17" style="183" bestFit="1" customWidth="1"/>
    <col min="8" max="8" width="14.5703125" style="183" bestFit="1" customWidth="1"/>
    <col min="9" max="10" width="16.28515625" style="183" bestFit="1" customWidth="1"/>
    <col min="11" max="11" width="16" style="183" customWidth="1"/>
    <col min="12" max="12" width="14.28515625" style="183" bestFit="1" customWidth="1"/>
    <col min="13" max="13" width="14.5703125" style="183" bestFit="1" customWidth="1"/>
    <col min="14" max="14" width="14.28515625" style="183" bestFit="1" customWidth="1"/>
    <col min="15" max="15" width="14" style="183" bestFit="1" customWidth="1"/>
    <col min="16" max="16" width="14.5703125" style="183" bestFit="1" customWidth="1"/>
    <col min="17" max="17" width="14.28515625" style="183" bestFit="1" customWidth="1"/>
    <col min="18" max="19" width="15.5703125" style="183" bestFit="1" customWidth="1"/>
    <col min="20" max="20" width="13.7109375" style="183" customWidth="1"/>
    <col min="21" max="21" width="13.85546875" style="183" customWidth="1"/>
    <col min="22" max="22" width="12" style="183" customWidth="1"/>
    <col min="23" max="24" width="12.7109375" style="183" customWidth="1"/>
    <col min="25" max="25" width="13.42578125" style="183" customWidth="1"/>
    <col min="26" max="26" width="13.28515625" style="183" customWidth="1"/>
    <col min="27" max="27" width="12" style="183" customWidth="1"/>
    <col min="28" max="28" width="12.42578125" style="183" customWidth="1"/>
    <col min="29" max="29" width="11.140625" style="183" customWidth="1"/>
    <col min="30" max="30" width="12" style="183" customWidth="1"/>
    <col min="31" max="31" width="12.42578125" style="183" customWidth="1"/>
    <col min="32" max="32" width="12" style="183" customWidth="1"/>
    <col min="33" max="33" width="11.28515625" style="183" customWidth="1"/>
    <col min="34" max="34" width="12" style="183" customWidth="1"/>
    <col min="35" max="35" width="11" style="183" customWidth="1"/>
    <col min="36" max="36" width="10.85546875" style="183" customWidth="1"/>
    <col min="37" max="37" width="11.7109375" style="183" customWidth="1"/>
    <col min="38" max="38" width="12.140625" style="183" customWidth="1"/>
    <col min="39" max="39" width="13.85546875" style="183" customWidth="1"/>
    <col min="40" max="40" width="14" style="183" customWidth="1"/>
    <col min="41" max="41" width="12.140625" style="183" customWidth="1"/>
    <col min="42" max="42" width="9.7109375" style="183" customWidth="1"/>
    <col min="43" max="43" width="13.42578125" style="183" customWidth="1"/>
    <col min="44" max="44" width="12.42578125" style="183" customWidth="1"/>
    <col min="45" max="45" width="12.28515625" style="183" customWidth="1"/>
    <col min="46" max="46" width="9.28515625" style="183" customWidth="1"/>
    <col min="47" max="47" width="11" style="183" customWidth="1"/>
    <col min="48" max="48" width="63.140625" style="183" customWidth="1"/>
    <col min="49" max="49" width="18.5703125" style="183" bestFit="1" customWidth="1"/>
    <col min="50" max="50" width="15.5703125" style="183" customWidth="1"/>
    <col min="51" max="51" width="13.85546875" style="183" customWidth="1"/>
    <col min="52" max="52" width="11.28515625" style="183" customWidth="1"/>
    <col min="53" max="55" width="11.140625" style="183" customWidth="1"/>
    <col min="56" max="56" width="12.28515625" style="183" customWidth="1"/>
    <col min="57" max="57" width="16.42578125" style="183" customWidth="1"/>
    <col min="58" max="58" width="13.7109375" style="183" bestFit="1" customWidth="1"/>
    <col min="59" max="59" width="6.140625" style="183" customWidth="1"/>
    <col min="60" max="60" width="13.42578125" style="183" customWidth="1"/>
    <col min="61" max="61" width="16" style="183" customWidth="1"/>
    <col min="62" max="62" width="9" style="183" customWidth="1"/>
    <col min="63" max="63" width="10.85546875" style="183" customWidth="1"/>
    <col min="64" max="64" width="8.5703125" style="183" customWidth="1"/>
    <col min="65" max="65" width="12.42578125" style="183" bestFit="1" customWidth="1"/>
    <col min="66" max="66" width="8" style="183" bestFit="1" customWidth="1"/>
    <col min="67" max="67" width="8.7109375" style="183" bestFit="1" customWidth="1"/>
    <col min="68" max="68" width="14.5703125" style="183" bestFit="1" customWidth="1"/>
    <col min="69" max="69" width="17.140625" style="183" bestFit="1" customWidth="1"/>
    <col min="70" max="16384" width="9.140625" style="183"/>
  </cols>
  <sheetData>
    <row r="2" spans="1:17">
      <c r="A2" s="399" t="s">
        <v>473</v>
      </c>
      <c r="B2" s="400"/>
      <c r="C2" s="400"/>
      <c r="D2" s="400"/>
      <c r="E2" s="400"/>
      <c r="F2" s="184"/>
      <c r="G2" s="184"/>
      <c r="H2" s="184"/>
      <c r="I2" s="184"/>
      <c r="J2" s="184"/>
      <c r="K2" s="185"/>
    </row>
    <row r="3" spans="1:17" ht="13.5" thickBot="1">
      <c r="A3" s="186"/>
      <c r="B3" s="187" t="s">
        <v>472</v>
      </c>
      <c r="C3" s="187" t="s">
        <v>448</v>
      </c>
      <c r="D3" s="187" t="s">
        <v>449</v>
      </c>
      <c r="E3" s="187" t="s">
        <v>450</v>
      </c>
      <c r="F3" s="187" t="s">
        <v>451</v>
      </c>
      <c r="G3" s="187" t="s">
        <v>452</v>
      </c>
      <c r="H3" s="187" t="s">
        <v>453</v>
      </c>
      <c r="I3" s="187" t="s">
        <v>454</v>
      </c>
      <c r="J3" s="187" t="s">
        <v>455</v>
      </c>
      <c r="K3" s="188" t="s">
        <v>456</v>
      </c>
      <c r="L3" s="277"/>
      <c r="M3" s="277"/>
      <c r="N3" s="277"/>
      <c r="O3" s="277"/>
      <c r="P3" s="277"/>
      <c r="Q3" s="277"/>
    </row>
    <row r="4" spans="1:17" ht="15">
      <c r="A4" s="334">
        <v>9606</v>
      </c>
      <c r="B4" s="329">
        <v>9569</v>
      </c>
      <c r="C4" s="330">
        <v>2927</v>
      </c>
      <c r="D4" s="331">
        <v>2538</v>
      </c>
      <c r="E4" s="330">
        <v>58</v>
      </c>
      <c r="F4" s="330">
        <v>0</v>
      </c>
      <c r="G4" s="330">
        <v>0</v>
      </c>
      <c r="H4" s="330">
        <v>0</v>
      </c>
      <c r="I4" s="330">
        <v>106</v>
      </c>
      <c r="J4" s="330">
        <v>49</v>
      </c>
      <c r="K4" s="332">
        <v>176</v>
      </c>
      <c r="L4" s="190"/>
      <c r="M4" s="190"/>
      <c r="N4" s="190"/>
      <c r="O4" s="190"/>
      <c r="P4" s="190"/>
      <c r="Q4" s="190"/>
    </row>
    <row r="5" spans="1:17" ht="15">
      <c r="A5" s="334">
        <v>9607</v>
      </c>
      <c r="B5" s="329">
        <v>1670</v>
      </c>
      <c r="C5" s="330">
        <v>737</v>
      </c>
      <c r="D5" s="333">
        <v>599</v>
      </c>
      <c r="E5" s="330">
        <v>58</v>
      </c>
      <c r="F5" s="330">
        <v>0</v>
      </c>
      <c r="G5" s="330">
        <v>0</v>
      </c>
      <c r="H5" s="330">
        <v>7</v>
      </c>
      <c r="I5" s="330">
        <v>1</v>
      </c>
      <c r="J5" s="330">
        <v>0</v>
      </c>
      <c r="K5" s="332">
        <v>73</v>
      </c>
      <c r="L5" s="190"/>
      <c r="M5" s="190"/>
      <c r="N5" s="190"/>
      <c r="O5" s="190"/>
      <c r="P5" s="190"/>
      <c r="Q5" s="190"/>
    </row>
    <row r="6" spans="1:17" ht="15">
      <c r="A6" s="334">
        <v>9608</v>
      </c>
      <c r="B6" s="329">
        <v>2350</v>
      </c>
      <c r="C6" s="330">
        <v>938</v>
      </c>
      <c r="D6" s="333">
        <v>724</v>
      </c>
      <c r="E6" s="330">
        <v>109</v>
      </c>
      <c r="F6" s="330">
        <v>10</v>
      </c>
      <c r="G6" s="330">
        <v>0</v>
      </c>
      <c r="H6" s="330">
        <v>0</v>
      </c>
      <c r="I6" s="330">
        <v>49</v>
      </c>
      <c r="J6" s="330">
        <v>0</v>
      </c>
      <c r="K6" s="332">
        <v>41</v>
      </c>
      <c r="L6" s="190"/>
      <c r="M6" s="190"/>
      <c r="N6" s="190"/>
      <c r="O6" s="190"/>
      <c r="P6" s="190"/>
      <c r="Q6" s="190"/>
    </row>
    <row r="7" spans="1:17">
      <c r="A7" s="189"/>
      <c r="B7" s="190"/>
      <c r="C7" s="190"/>
      <c r="E7" s="190"/>
      <c r="F7" s="190"/>
      <c r="G7" s="190"/>
      <c r="H7" s="190"/>
      <c r="I7" s="190"/>
      <c r="J7" s="190"/>
      <c r="K7" s="191"/>
      <c r="L7" s="190"/>
      <c r="M7" s="190"/>
      <c r="N7" s="190"/>
      <c r="O7" s="190"/>
      <c r="P7" s="190"/>
      <c r="Q7" s="190"/>
    </row>
    <row r="8" spans="1:17">
      <c r="A8" s="189" t="s">
        <v>482</v>
      </c>
      <c r="B8" s="190"/>
      <c r="C8" s="190"/>
      <c r="E8" s="190"/>
      <c r="F8" s="190"/>
      <c r="G8" s="190"/>
      <c r="H8" s="190"/>
      <c r="I8" s="190"/>
      <c r="J8" s="190"/>
      <c r="K8" s="191"/>
      <c r="L8" s="190"/>
      <c r="M8" s="190"/>
      <c r="N8" s="190"/>
      <c r="O8" s="190"/>
      <c r="P8" s="190"/>
      <c r="Q8" s="190"/>
    </row>
    <row r="9" spans="1:17">
      <c r="A9" s="335">
        <v>37370499605002</v>
      </c>
      <c r="B9" s="190"/>
      <c r="C9" s="190"/>
      <c r="D9" s="190"/>
      <c r="E9" s="190"/>
      <c r="F9" s="190"/>
      <c r="G9" s="190"/>
      <c r="H9" s="190"/>
      <c r="I9" s="190"/>
      <c r="J9" s="190"/>
      <c r="K9" s="191"/>
      <c r="L9" s="190"/>
      <c r="M9" s="190"/>
      <c r="N9" s="190"/>
      <c r="O9" s="190"/>
      <c r="P9" s="190"/>
      <c r="Q9" s="190"/>
    </row>
    <row r="10" spans="1:17">
      <c r="A10" s="335">
        <v>37370499605004</v>
      </c>
      <c r="B10" s="190"/>
      <c r="C10" s="190"/>
      <c r="D10" s="190"/>
      <c r="E10" s="190"/>
      <c r="F10" s="190"/>
      <c r="G10" s="190"/>
      <c r="H10" s="190"/>
      <c r="I10" s="190"/>
      <c r="J10" s="190"/>
      <c r="K10" s="191"/>
      <c r="L10" s="190"/>
      <c r="M10" s="190"/>
      <c r="N10" s="190"/>
      <c r="O10" s="190"/>
      <c r="P10" s="190"/>
      <c r="Q10" s="190"/>
    </row>
    <row r="11" spans="1:17">
      <c r="A11" s="335">
        <v>37370499606003</v>
      </c>
      <c r="B11" s="190"/>
      <c r="C11" s="190"/>
      <c r="D11" s="190"/>
      <c r="E11" s="190"/>
      <c r="F11" s="190"/>
      <c r="G11" s="190"/>
      <c r="H11" s="190"/>
      <c r="I11" s="190"/>
      <c r="J11" s="190"/>
      <c r="K11" s="191"/>
      <c r="L11" s="190"/>
      <c r="M11" s="190"/>
      <c r="N11" s="190"/>
      <c r="O11" s="190"/>
      <c r="P11" s="190"/>
      <c r="Q11" s="190"/>
    </row>
    <row r="12" spans="1:17">
      <c r="A12" s="335">
        <v>37370499608004</v>
      </c>
      <c r="B12" s="190"/>
      <c r="C12" s="190"/>
      <c r="D12" s="190"/>
      <c r="E12" s="190"/>
      <c r="F12" s="190"/>
      <c r="G12" s="190"/>
      <c r="H12" s="190"/>
      <c r="I12" s="190"/>
      <c r="J12" s="190"/>
      <c r="K12" s="191"/>
      <c r="L12" s="190"/>
      <c r="M12" s="190"/>
      <c r="N12" s="190"/>
      <c r="O12" s="190"/>
      <c r="P12" s="190"/>
      <c r="Q12" s="190"/>
    </row>
    <row r="13" spans="1:17">
      <c r="A13" s="335">
        <v>37370499607002</v>
      </c>
      <c r="B13" s="190"/>
      <c r="C13" s="190"/>
      <c r="D13" s="190"/>
      <c r="E13" s="190"/>
      <c r="F13" s="190"/>
      <c r="G13" s="190"/>
      <c r="H13" s="190"/>
      <c r="I13" s="190"/>
      <c r="J13" s="190"/>
      <c r="K13" s="191"/>
      <c r="L13" s="190"/>
      <c r="M13" s="190"/>
      <c r="N13" s="190"/>
      <c r="O13" s="190"/>
      <c r="P13" s="190"/>
      <c r="Q13" s="190"/>
    </row>
    <row r="14" spans="1:17">
      <c r="A14" s="335">
        <v>37370499607001</v>
      </c>
      <c r="B14" s="190"/>
      <c r="C14" s="190"/>
      <c r="D14" s="190"/>
      <c r="E14" s="190"/>
      <c r="F14" s="190"/>
      <c r="G14" s="190"/>
      <c r="H14" s="190"/>
      <c r="I14" s="190"/>
      <c r="J14" s="190"/>
      <c r="K14" s="191"/>
      <c r="L14" s="190"/>
      <c r="M14" s="190"/>
      <c r="N14" s="190"/>
      <c r="O14" s="190"/>
      <c r="P14" s="190"/>
      <c r="Q14" s="190"/>
    </row>
    <row r="15" spans="1:17">
      <c r="A15" s="335">
        <v>37370499606002</v>
      </c>
      <c r="B15" s="190"/>
      <c r="C15" s="190"/>
      <c r="D15" s="190"/>
      <c r="E15" s="190"/>
      <c r="F15" s="190"/>
      <c r="G15" s="190"/>
      <c r="H15" s="190"/>
      <c r="I15" s="190"/>
      <c r="J15" s="190"/>
      <c r="K15" s="191"/>
      <c r="L15" s="190"/>
      <c r="M15" s="190"/>
      <c r="N15" s="190"/>
      <c r="O15" s="190"/>
      <c r="P15" s="190"/>
      <c r="Q15" s="190"/>
    </row>
    <row r="16" spans="1:17">
      <c r="A16" s="335">
        <v>37370499606001</v>
      </c>
      <c r="B16" s="190"/>
      <c r="C16" s="190"/>
      <c r="D16" s="190"/>
      <c r="E16" s="190"/>
      <c r="F16" s="190"/>
      <c r="G16" s="190"/>
      <c r="H16" s="190"/>
      <c r="I16" s="190"/>
      <c r="J16" s="190"/>
      <c r="K16" s="191"/>
      <c r="L16" s="190"/>
      <c r="M16" s="190"/>
      <c r="N16" s="190"/>
      <c r="O16" s="190"/>
      <c r="P16" s="190"/>
      <c r="Q16" s="190"/>
    </row>
    <row r="17" spans="1:21">
      <c r="A17" s="335">
        <v>37370499607002</v>
      </c>
      <c r="B17" s="190"/>
      <c r="C17" s="190"/>
      <c r="D17" s="190"/>
      <c r="E17" s="190"/>
      <c r="F17" s="190"/>
      <c r="G17" s="190"/>
      <c r="H17" s="190"/>
      <c r="I17" s="190"/>
      <c r="J17" s="190"/>
      <c r="K17" s="191"/>
      <c r="L17" s="190"/>
      <c r="M17" s="190"/>
      <c r="N17" s="190"/>
      <c r="O17" s="190"/>
      <c r="P17" s="190"/>
      <c r="Q17" s="190"/>
    </row>
    <row r="18" spans="1:21">
      <c r="A18" s="335">
        <v>37370499606004</v>
      </c>
      <c r="B18" s="190"/>
      <c r="C18" s="190"/>
      <c r="D18" s="190"/>
      <c r="E18" s="190"/>
      <c r="F18" s="190"/>
      <c r="G18" s="190"/>
      <c r="H18" s="190"/>
      <c r="I18" s="190"/>
      <c r="J18" s="190"/>
      <c r="K18" s="191"/>
      <c r="L18" s="190"/>
      <c r="M18" s="190"/>
      <c r="N18" s="190"/>
      <c r="O18" s="190"/>
      <c r="P18" s="190"/>
      <c r="Q18" s="190"/>
    </row>
    <row r="19" spans="1:21">
      <c r="A19" s="192" t="s">
        <v>333</v>
      </c>
      <c r="B19" s="193">
        <f>SUM(B4:B18)</f>
        <v>13589</v>
      </c>
      <c r="C19" s="193">
        <f>SUM(C4:C18)</f>
        <v>4602</v>
      </c>
      <c r="D19" s="271">
        <f>SUM(D4:D18)</f>
        <v>3861</v>
      </c>
      <c r="E19" s="193">
        <f>SUM(E4:E18)</f>
        <v>225</v>
      </c>
      <c r="F19" s="193">
        <f>SUM(F4:F18)</f>
        <v>10</v>
      </c>
      <c r="G19" s="193">
        <f t="shared" ref="G19:J19" si="0">SUM(G4:G18)</f>
        <v>0</v>
      </c>
      <c r="H19" s="193">
        <f>SUM(H4:H18)</f>
        <v>7</v>
      </c>
      <c r="I19" s="193">
        <f t="shared" si="0"/>
        <v>156</v>
      </c>
      <c r="J19" s="193">
        <f t="shared" si="0"/>
        <v>49</v>
      </c>
      <c r="K19" s="194">
        <f>SUM(K4:K18)</f>
        <v>290</v>
      </c>
      <c r="L19" s="193"/>
      <c r="M19" s="193"/>
      <c r="N19" s="193"/>
      <c r="O19" s="193"/>
      <c r="P19" s="193"/>
      <c r="Q19" s="193"/>
    </row>
    <row r="20" spans="1:21">
      <c r="A20" s="195" t="s">
        <v>457</v>
      </c>
      <c r="B20" s="196"/>
      <c r="C20" s="197">
        <f>C19-K19</f>
        <v>4312</v>
      </c>
      <c r="D20" s="198"/>
      <c r="E20" s="198"/>
      <c r="F20" s="198"/>
      <c r="G20" s="198"/>
      <c r="H20" s="198"/>
      <c r="I20" s="198"/>
      <c r="J20" s="198"/>
      <c r="K20" s="198"/>
      <c r="L20" s="198"/>
      <c r="M20" s="198"/>
      <c r="N20" s="198"/>
      <c r="O20" s="198"/>
      <c r="P20" s="198"/>
      <c r="Q20" s="198"/>
    </row>
    <row r="21" spans="1:21">
      <c r="A21" s="199" t="s">
        <v>458</v>
      </c>
      <c r="C21" s="200">
        <f>C19/$C$19</f>
        <v>1</v>
      </c>
      <c r="D21" s="200">
        <f>D19/$C$19</f>
        <v>0.83898305084745761</v>
      </c>
      <c r="E21" s="200">
        <f t="shared" ref="E21:K21" si="1">E19/$C$19</f>
        <v>4.8891786179921772E-2</v>
      </c>
      <c r="F21" s="200">
        <f t="shared" si="1"/>
        <v>2.1729682746631897E-3</v>
      </c>
      <c r="G21" s="200">
        <f t="shared" si="1"/>
        <v>0</v>
      </c>
      <c r="H21" s="272">
        <f t="shared" si="1"/>
        <v>1.521077792264233E-3</v>
      </c>
      <c r="I21" s="272">
        <f>I19/$C$19</f>
        <v>3.3898305084745763E-2</v>
      </c>
      <c r="J21" s="200">
        <f t="shared" si="1"/>
        <v>1.0647544545849631E-2</v>
      </c>
      <c r="K21" s="201">
        <f t="shared" si="1"/>
        <v>6.3016079965232508E-2</v>
      </c>
      <c r="L21" s="200"/>
      <c r="M21" s="200"/>
      <c r="N21" s="200"/>
      <c r="O21" s="200"/>
      <c r="P21" s="200"/>
      <c r="Q21" s="200"/>
    </row>
    <row r="22" spans="1:21">
      <c r="A22" s="202"/>
      <c r="D22" s="200"/>
      <c r="E22" s="200"/>
      <c r="F22" s="200"/>
      <c r="G22" s="200"/>
      <c r="H22" s="200"/>
      <c r="I22" s="200"/>
      <c r="J22" s="200"/>
      <c r="K22" s="201"/>
      <c r="L22" s="200"/>
      <c r="M22" s="200"/>
      <c r="N22" s="200"/>
      <c r="O22" s="200"/>
      <c r="P22" s="200"/>
      <c r="Q22" s="200"/>
    </row>
    <row r="23" spans="1:21">
      <c r="A23" s="203" t="s">
        <v>459</v>
      </c>
      <c r="B23" s="204"/>
      <c r="C23" s="204"/>
      <c r="D23" s="204"/>
      <c r="E23" s="204"/>
      <c r="F23" s="204"/>
      <c r="G23" s="204"/>
      <c r="H23" s="204"/>
      <c r="I23" s="204"/>
      <c r="J23" s="204"/>
      <c r="K23" s="205"/>
    </row>
    <row r="24" spans="1:21">
      <c r="A24" s="206"/>
    </row>
    <row r="25" spans="1:21">
      <c r="U25" s="184"/>
    </row>
    <row r="28" spans="1:21">
      <c r="B28" s="207" t="s">
        <v>460</v>
      </c>
      <c r="C28" s="278"/>
      <c r="D28" s="279">
        <v>1E-3</v>
      </c>
    </row>
    <row r="29" spans="1:21">
      <c r="A29" s="208"/>
      <c r="B29" s="208"/>
      <c r="C29" s="401" t="s">
        <v>461</v>
      </c>
      <c r="D29" s="402"/>
      <c r="E29" s="402"/>
      <c r="F29" s="402"/>
      <c r="G29" s="402"/>
      <c r="H29" s="402"/>
      <c r="I29" s="402"/>
      <c r="J29" s="402"/>
      <c r="K29" s="403"/>
      <c r="L29" s="401" t="s">
        <v>224</v>
      </c>
      <c r="M29" s="402"/>
      <c r="N29" s="402"/>
      <c r="O29" s="402"/>
      <c r="P29" s="402"/>
      <c r="Q29" s="402"/>
      <c r="R29" s="402"/>
      <c r="S29" s="402"/>
      <c r="T29" s="403"/>
    </row>
    <row r="30" spans="1:21" ht="63.75">
      <c r="A30" s="202"/>
      <c r="B30" s="209" t="s">
        <v>222</v>
      </c>
      <c r="C30" s="281" t="s">
        <v>474</v>
      </c>
      <c r="D30" s="210" t="s">
        <v>534</v>
      </c>
      <c r="E30" s="210" t="s">
        <v>462</v>
      </c>
      <c r="F30" s="210" t="s">
        <v>463</v>
      </c>
      <c r="G30" s="210" t="s">
        <v>464</v>
      </c>
      <c r="H30" s="210" t="s">
        <v>465</v>
      </c>
      <c r="I30" s="210" t="s">
        <v>537</v>
      </c>
      <c r="J30" s="210" t="s">
        <v>538</v>
      </c>
      <c r="K30" s="211" t="s">
        <v>539</v>
      </c>
      <c r="L30" s="281" t="s">
        <v>464</v>
      </c>
      <c r="M30" s="210" t="s">
        <v>465</v>
      </c>
      <c r="N30" s="210" t="s">
        <v>466</v>
      </c>
      <c r="O30" s="210" t="s">
        <v>540</v>
      </c>
      <c r="P30" s="210" t="s">
        <v>535</v>
      </c>
      <c r="Q30" s="210" t="s">
        <v>536</v>
      </c>
      <c r="R30" s="210" t="s">
        <v>467</v>
      </c>
      <c r="S30" s="210" t="s">
        <v>468</v>
      </c>
      <c r="T30" s="211" t="s">
        <v>469</v>
      </c>
    </row>
    <row r="31" spans="1:21">
      <c r="A31" s="212" t="s">
        <v>470</v>
      </c>
      <c r="B31" s="213">
        <v>2022</v>
      </c>
      <c r="C31" s="292"/>
      <c r="D31" s="293">
        <f>B19</f>
        <v>13589</v>
      </c>
      <c r="E31" s="293">
        <f>C19</f>
        <v>4602</v>
      </c>
      <c r="F31" s="293">
        <f>E31*$I$21</f>
        <v>156</v>
      </c>
      <c r="G31" s="294">
        <f>F31*2*5*52</f>
        <v>81120</v>
      </c>
      <c r="H31" s="294">
        <f>D31*0.68*'Trip Multipliers'!J6*365*'Trip Multipliers'!C23</f>
        <v>249313.34449805526</v>
      </c>
      <c r="I31" s="290">
        <f>H19</f>
        <v>7</v>
      </c>
      <c r="J31" s="290">
        <f>I31*2*5*52</f>
        <v>3640</v>
      </c>
      <c r="K31" s="291">
        <f>D31*365*0.68*'Trip Multipliers'!C27*'Trip Multipliers'!I6</f>
        <v>0</v>
      </c>
      <c r="L31" s="282"/>
      <c r="M31" s="283"/>
      <c r="N31" s="214"/>
      <c r="O31" s="214"/>
      <c r="P31" s="214"/>
      <c r="Q31" s="214"/>
      <c r="R31" s="215"/>
      <c r="S31" s="215"/>
      <c r="T31" s="216"/>
    </row>
    <row r="32" spans="1:21">
      <c r="A32" s="202">
        <v>8</v>
      </c>
      <c r="B32" s="218">
        <v>2030</v>
      </c>
      <c r="C32" s="284">
        <f>$C$31*($D$28+1)^A32</f>
        <v>0</v>
      </c>
      <c r="D32" s="190">
        <f>$D$31*($D$28+1)^$A32</f>
        <v>13698.093253935976</v>
      </c>
      <c r="E32" s="190">
        <f t="shared" ref="E32:E55" si="2">$E$31*(1+$D$28)^A32</f>
        <v>4638.9451140343926</v>
      </c>
      <c r="F32" s="182">
        <f t="shared" ref="F32:F56" si="3">E32*$I$21</f>
        <v>157.25237674692858</v>
      </c>
      <c r="G32" s="215">
        <f t="shared" ref="G32:G55" si="4">F32*2*5*52</f>
        <v>81771.235908402858</v>
      </c>
      <c r="H32" s="215">
        <f t="shared" ref="H32:H56" si="5">$H$31*(1+$D$28)^A32</f>
        <v>251314.84600669859</v>
      </c>
      <c r="I32" s="190">
        <f>$I$31*($D$28+1)^A32</f>
        <v>7.056196392490385</v>
      </c>
      <c r="J32" s="215">
        <f t="shared" ref="J32:J56" si="6">I32*2*5*52</f>
        <v>3669.2221240950003</v>
      </c>
      <c r="K32" s="286">
        <f>$K$31*(1+$D$28)^A32</f>
        <v>0</v>
      </c>
      <c r="L32" s="284"/>
      <c r="M32" s="215"/>
      <c r="N32" s="214"/>
      <c r="O32" s="214"/>
      <c r="P32" s="214"/>
      <c r="Q32" s="214"/>
      <c r="R32" s="215"/>
      <c r="S32" s="215"/>
      <c r="T32" s="216"/>
    </row>
    <row r="33" spans="1:21">
      <c r="A33" s="202">
        <v>9</v>
      </c>
      <c r="B33" s="202">
        <v>2031</v>
      </c>
      <c r="C33" s="284">
        <f t="shared" ref="C33:C54" si="7">$C$31*($D$28+1)^A33</f>
        <v>0</v>
      </c>
      <c r="D33" s="190">
        <f t="shared" ref="D33:D56" si="8">$D$31*($D$28+1)^$A33</f>
        <v>13711.791347189912</v>
      </c>
      <c r="E33" s="190">
        <f t="shared" si="2"/>
        <v>4643.5840591484275</v>
      </c>
      <c r="F33" s="182">
        <f t="shared" si="3"/>
        <v>157.4096291236755</v>
      </c>
      <c r="G33" s="215">
        <f t="shared" si="4"/>
        <v>81853.007144311254</v>
      </c>
      <c r="H33" s="215">
        <f t="shared" si="5"/>
        <v>251566.16085270527</v>
      </c>
      <c r="I33" s="190">
        <f t="shared" ref="I33:I56" si="9">$I$31*($D$28+1)^A33</f>
        <v>7.0632525888828752</v>
      </c>
      <c r="J33" s="215">
        <f t="shared" si="6"/>
        <v>3672.8913462190949</v>
      </c>
      <c r="K33" s="286">
        <f t="shared" ref="K33:K56" si="10">$K$31*(1+$D$28)^A33</f>
        <v>0</v>
      </c>
      <c r="L33" s="284"/>
      <c r="M33" s="215"/>
      <c r="N33" s="214"/>
      <c r="O33" s="214"/>
      <c r="P33" s="214"/>
      <c r="Q33" s="214"/>
      <c r="R33" s="215"/>
      <c r="S33" s="215"/>
      <c r="T33" s="216"/>
    </row>
    <row r="34" spans="1:21">
      <c r="A34" s="202">
        <v>10</v>
      </c>
      <c r="B34" s="202">
        <v>2032</v>
      </c>
      <c r="C34" s="284">
        <f t="shared" si="7"/>
        <v>0</v>
      </c>
      <c r="D34" s="190">
        <f t="shared" si="8"/>
        <v>13725.5031385371</v>
      </c>
      <c r="E34" s="190">
        <f t="shared" si="2"/>
        <v>4648.2276432075751</v>
      </c>
      <c r="F34" s="182">
        <f t="shared" si="3"/>
        <v>157.56703875279916</v>
      </c>
      <c r="G34" s="215">
        <f t="shared" si="4"/>
        <v>81934.860151455563</v>
      </c>
      <c r="H34" s="215">
        <f t="shared" si="5"/>
        <v>251817.72701355792</v>
      </c>
      <c r="I34" s="190">
        <f t="shared" si="9"/>
        <v>7.0703158414717571</v>
      </c>
      <c r="J34" s="215">
        <f t="shared" si="6"/>
        <v>3676.5642375653133</v>
      </c>
      <c r="K34" s="286">
        <f t="shared" si="10"/>
        <v>0</v>
      </c>
      <c r="L34" s="284"/>
      <c r="M34" s="215"/>
      <c r="N34" s="214"/>
      <c r="O34" s="214"/>
      <c r="P34" s="214"/>
      <c r="Q34" s="214"/>
      <c r="R34" s="215"/>
      <c r="S34" s="215"/>
      <c r="T34" s="216"/>
    </row>
    <row r="35" spans="1:21">
      <c r="A35" s="202">
        <v>11</v>
      </c>
      <c r="B35" s="218">
        <v>2033</v>
      </c>
      <c r="C35" s="284">
        <f t="shared" si="7"/>
        <v>0</v>
      </c>
      <c r="D35" s="190">
        <f t="shared" si="8"/>
        <v>13739.228641675634</v>
      </c>
      <c r="E35" s="190">
        <f t="shared" si="2"/>
        <v>4652.8758708507812</v>
      </c>
      <c r="F35" s="182">
        <f t="shared" si="3"/>
        <v>157.72460579155191</v>
      </c>
      <c r="G35" s="215">
        <f t="shared" si="4"/>
        <v>82016.795011606984</v>
      </c>
      <c r="H35" s="215">
        <f t="shared" si="5"/>
        <v>252069.54474057141</v>
      </c>
      <c r="I35" s="190">
        <f t="shared" si="9"/>
        <v>7.0773861573132262</v>
      </c>
      <c r="J35" s="215">
        <f t="shared" si="6"/>
        <v>3680.2408018028777</v>
      </c>
      <c r="K35" s="286">
        <f t="shared" si="10"/>
        <v>0</v>
      </c>
      <c r="L35" s="284"/>
      <c r="M35" s="190"/>
      <c r="N35" s="214"/>
      <c r="O35" s="214"/>
      <c r="P35" s="214"/>
      <c r="Q35" s="214"/>
      <c r="R35" s="215"/>
      <c r="S35" s="215"/>
      <c r="T35" s="217"/>
      <c r="U35" s="215"/>
    </row>
    <row r="36" spans="1:21">
      <c r="A36" s="202">
        <v>12</v>
      </c>
      <c r="B36" s="202">
        <v>2034</v>
      </c>
      <c r="C36" s="284">
        <f t="shared" si="7"/>
        <v>0</v>
      </c>
      <c r="D36" s="190">
        <f t="shared" si="8"/>
        <v>13752.967870317309</v>
      </c>
      <c r="E36" s="190">
        <f t="shared" si="2"/>
        <v>4657.5287467216313</v>
      </c>
      <c r="F36" s="182">
        <f t="shared" si="3"/>
        <v>157.88233039734342</v>
      </c>
      <c r="G36" s="215">
        <f t="shared" si="4"/>
        <v>82098.811806618571</v>
      </c>
      <c r="H36" s="215">
        <f t="shared" si="5"/>
        <v>252321.61428531198</v>
      </c>
      <c r="I36" s="190">
        <f t="shared" si="9"/>
        <v>7.0844635434705392</v>
      </c>
      <c r="J36" s="215">
        <f t="shared" si="6"/>
        <v>3683.9210426046807</v>
      </c>
      <c r="K36" s="286">
        <f t="shared" si="10"/>
        <v>0</v>
      </c>
      <c r="L36" s="284"/>
      <c r="M36" s="190"/>
      <c r="N36" s="215"/>
      <c r="O36" s="214"/>
      <c r="P36" s="214"/>
      <c r="Q36" s="214"/>
      <c r="R36" s="215"/>
      <c r="S36" s="215"/>
      <c r="T36" s="217"/>
    </row>
    <row r="37" spans="1:21">
      <c r="A37" s="202">
        <v>13</v>
      </c>
      <c r="B37" s="202">
        <v>2035</v>
      </c>
      <c r="C37" s="284">
        <f t="shared" si="7"/>
        <v>0</v>
      </c>
      <c r="D37" s="190">
        <f t="shared" si="8"/>
        <v>13766.720838187624</v>
      </c>
      <c r="E37" s="190">
        <f t="shared" si="2"/>
        <v>4662.1862754683534</v>
      </c>
      <c r="F37" s="182">
        <f t="shared" si="3"/>
        <v>158.04021272774079</v>
      </c>
      <c r="G37" s="215">
        <f>F37*2*5*52</f>
        <v>82180.910618425216</v>
      </c>
      <c r="H37" s="215">
        <f>$H$31*(1+$D$28)^A37</f>
        <v>252573.93589959727</v>
      </c>
      <c r="I37" s="190">
        <f t="shared" si="9"/>
        <v>7.0915480070140093</v>
      </c>
      <c r="J37" s="215">
        <f t="shared" si="6"/>
        <v>3687.6049636472849</v>
      </c>
      <c r="K37" s="286">
        <f t="shared" si="10"/>
        <v>0</v>
      </c>
      <c r="L37" s="288">
        <f>G37*(1+'Trip Multipliers'!$J$5+(($B37-$B$36)*(('Trip Multipliers'!$J$16-'Trip Multipliers'!$J$5)/($B$56-$B$36))))</f>
        <v>83849.058212932563</v>
      </c>
      <c r="M37" s="289">
        <f>H37*(1+'Trip Multipliers'!$J$5+((B37-$B$36)*(('Trip Multipliers'!$J$16-'Trip Multipliers'!$J$5)/($B$56-$B$36))))</f>
        <v>257700.80295954566</v>
      </c>
      <c r="N37" s="290">
        <f t="shared" ref="N37:N56" si="11">(M37+L37)-(G37+H37)</f>
        <v>6795.0146544557647</v>
      </c>
      <c r="O37" s="289">
        <f>J37*(1+'Trip Multipliers'!$I$9+(($B37-$B$36)*(('Trip Multipliers'!$I$16-'Trip Multipliers'!$I$5)/($B$56-$B$36))))</f>
        <v>3687.6049636472849</v>
      </c>
      <c r="P37" s="289">
        <f>K37*(1+'Trip Multipliers'!$I$5+((E37-$B$36)*(('Trip Multipliers'!$I$16-'Trip Multipliers'!$I$5)/($B$56-$B$36))))</f>
        <v>0</v>
      </c>
      <c r="Q37" s="290">
        <f>(P37+O37)-(J37+K37)</f>
        <v>0</v>
      </c>
      <c r="R37" s="290">
        <f>((L37-G37)+(O37-J37))*'Trip Multipliers'!$J$9</f>
        <v>1359.5548787801317</v>
      </c>
      <c r="S37" s="290">
        <f>(M37-H37)*'[1]Trip Multipliers'!$J$10</f>
        <v>4589.9326281101303</v>
      </c>
      <c r="T37" s="291">
        <f>R37*'[1]Trip Multipliers'!$C$25+S37*'[1]Trip Multipliers'!$C$26</f>
        <v>4788.5235940531029</v>
      </c>
    </row>
    <row r="38" spans="1:21">
      <c r="A38" s="202">
        <v>14</v>
      </c>
      <c r="B38" s="218">
        <v>2036</v>
      </c>
      <c r="C38" s="284">
        <f t="shared" si="7"/>
        <v>0</v>
      </c>
      <c r="D38" s="190">
        <f t="shared" si="8"/>
        <v>13780.487559025807</v>
      </c>
      <c r="E38" s="190">
        <f t="shared" si="2"/>
        <v>4666.8484617438198</v>
      </c>
      <c r="F38" s="182">
        <f t="shared" si="3"/>
        <v>158.19825294046848</v>
      </c>
      <c r="G38" s="215">
        <f t="shared" si="4"/>
        <v>82263.09152904361</v>
      </c>
      <c r="H38" s="215">
        <f t="shared" si="5"/>
        <v>252826.50983549678</v>
      </c>
      <c r="I38" s="190">
        <f t="shared" si="9"/>
        <v>7.0986395550210215</v>
      </c>
      <c r="J38" s="215">
        <f t="shared" si="6"/>
        <v>3691.2925686109315</v>
      </c>
      <c r="K38" s="286">
        <f t="shared" si="10"/>
        <v>0</v>
      </c>
      <c r="L38" s="284">
        <f>G38*(1+'Trip Multipliers'!$J$5+(($B38-$B$36)*(('Trip Multipliers'!$J$16-'Trip Multipliers'!$J$5)/($B$56-$B$36))))</f>
        <v>83974.911323975422</v>
      </c>
      <c r="M38" s="190">
        <f>H38*(1+'Trip Multipliers'!$J$5+((B38-$B$36)*(('Trip Multipliers'!$J$16-'Trip Multipliers'!$J$5)/($B$56-$B$36))))</f>
        <v>258087.59857135016</v>
      </c>
      <c r="N38" s="215">
        <f t="shared" si="11"/>
        <v>6972.9085307851783</v>
      </c>
      <c r="O38" s="190">
        <f>J38*(1+'Trip Multipliers'!$I$5+(($B38-$B$36)*(('Trip Multipliers'!$I$16-'Trip Multipliers'!$I$5)/($B$56-$B$36))))</f>
        <v>3691.2925686109315</v>
      </c>
      <c r="P38" s="190">
        <f>K38*(1+'Trip Multipliers'!$I$5+((E38-$B$36)*(('Trip Multipliers'!$I$16-'Trip Multipliers'!$I$5)/($B$56-$B$36))))</f>
        <v>0</v>
      </c>
      <c r="Q38" s="215">
        <f t="shared" ref="Q38:Q56" si="12">(P38+O38)-(J38+K38)</f>
        <v>0</v>
      </c>
      <c r="R38" s="215">
        <f>(L38-G38)*'[1]Trip Multipliers'!$J$9</f>
        <v>1493.2655000671068</v>
      </c>
      <c r="S38" s="215">
        <f>(M38-H38)*'[1]Trip Multipliers'!$J$10</f>
        <v>4710.0973295607946</v>
      </c>
      <c r="T38" s="217">
        <f>R38*'[1]Trip Multipliers'!$C$25+S38*'[1]Trip Multipliers'!$C$26</f>
        <v>4984.5319435837755</v>
      </c>
    </row>
    <row r="39" spans="1:21">
      <c r="A39" s="202">
        <v>15</v>
      </c>
      <c r="B39" s="202">
        <v>2037</v>
      </c>
      <c r="C39" s="284">
        <f>$C$31*($D$28+1)^A39</f>
        <v>0</v>
      </c>
      <c r="D39" s="190">
        <f t="shared" si="8"/>
        <v>13794.268046584833</v>
      </c>
      <c r="E39" s="190">
        <f t="shared" si="2"/>
        <v>4671.5153102055638</v>
      </c>
      <c r="F39" s="182">
        <f t="shared" si="3"/>
        <v>158.35645119340893</v>
      </c>
      <c r="G39" s="215">
        <f t="shared" si="4"/>
        <v>82345.354620572645</v>
      </c>
      <c r="H39" s="215">
        <f t="shared" si="5"/>
        <v>253079.33634533227</v>
      </c>
      <c r="I39" s="190">
        <f t="shared" si="9"/>
        <v>7.1057381945760421</v>
      </c>
      <c r="J39" s="215">
        <f t="shared" si="6"/>
        <v>3694.9838611795421</v>
      </c>
      <c r="K39" s="286">
        <f t="shared" si="10"/>
        <v>0</v>
      </c>
      <c r="L39" s="284">
        <f>G39*(1+'Trip Multipliers'!$J$5+(($B39-$B$36)*(('Trip Multipliers'!$J$16-'Trip Multipliers'!$J$5)/($B$56-$B$36))))</f>
        <v>84100.932292182202</v>
      </c>
      <c r="M39" s="190">
        <f>H39*(1+'Trip Multipliers'!$J$5+((B39-$B$36)*(('Trip Multipliers'!$J$16-'Trip Multipliers'!$J$5)/($B$56-$B$36))))</f>
        <v>258474.91007357545</v>
      </c>
      <c r="N39" s="215">
        <f t="shared" si="11"/>
        <v>7151.1513998527662</v>
      </c>
      <c r="O39" s="190">
        <f>J39*(1+'Trip Multipliers'!$I$5+(($B39-$B$36)*(('Trip Multipliers'!$I$16-'Trip Multipliers'!$I$5)/($B$56-$B$36))))</f>
        <v>3694.9838611795421</v>
      </c>
      <c r="P39" s="190">
        <f>K39*(1+'Trip Multipliers'!$I$5+((E39-$B$36)*(('Trip Multipliers'!$I$16-'Trip Multipliers'!$I$5)/($B$56-$B$36))))</f>
        <v>0</v>
      </c>
      <c r="Q39" s="215">
        <f t="shared" si="12"/>
        <v>0</v>
      </c>
      <c r="R39" s="215">
        <f>(L39-G39)*'[1]Trip Multipliers'!$J$9</f>
        <v>1531.4366485679741</v>
      </c>
      <c r="S39" s="215">
        <f>(M39-H39)*'[1]Trip Multipliers'!$J$10</f>
        <v>4830.4977704817848</v>
      </c>
      <c r="T39" s="217">
        <f>R39*'[1]Trip Multipliers'!$C$25+S39*'[1]Trip Multipliers'!$C$26</f>
        <v>5111.9475364688224</v>
      </c>
    </row>
    <row r="40" spans="1:21">
      <c r="A40" s="202">
        <v>16</v>
      </c>
      <c r="B40" s="202">
        <v>2038</v>
      </c>
      <c r="C40" s="284">
        <f t="shared" si="7"/>
        <v>0</v>
      </c>
      <c r="D40" s="190">
        <f t="shared" si="8"/>
        <v>13808.062314631416</v>
      </c>
      <c r="E40" s="190">
        <f t="shared" si="2"/>
        <v>4676.1868255157688</v>
      </c>
      <c r="F40" s="182">
        <f t="shared" si="3"/>
        <v>158.51480764460234</v>
      </c>
      <c r="G40" s="215">
        <f t="shared" si="4"/>
        <v>82427.699975193216</v>
      </c>
      <c r="H40" s="215">
        <f t="shared" si="5"/>
        <v>253332.41568167758</v>
      </c>
      <c r="I40" s="190">
        <f t="shared" si="9"/>
        <v>7.112843932770617</v>
      </c>
      <c r="J40" s="215">
        <f t="shared" si="6"/>
        <v>3698.6788450407212</v>
      </c>
      <c r="K40" s="286">
        <f t="shared" si="10"/>
        <v>0</v>
      </c>
      <c r="L40" s="284">
        <f>G40*(1+'Trip Multipliers'!$J$5+(($B40-$B$36)*(('Trip Multipliers'!$J$16-'Trip Multipliers'!$J$5)/($B$56-$B$36))))</f>
        <v>84227.121327414061</v>
      </c>
      <c r="M40" s="190">
        <f>H40*(1+'Trip Multipliers'!$J$5+((B40-$B$36)*(('Trip Multipliers'!$J$16-'Trip Multipliers'!$J$5)/($B$56-$B$36))))</f>
        <v>258862.73811120656</v>
      </c>
      <c r="N40" s="215">
        <f t="shared" si="11"/>
        <v>7329.7437817498576</v>
      </c>
      <c r="O40" s="190">
        <f>J40*(1+'Trip Multipliers'!$I$5+(($B40-$B$36)*(('Trip Multipliers'!$I$16-'Trip Multipliers'!$I$5)/($B$56-$B$36))))</f>
        <v>3698.6788450407212</v>
      </c>
      <c r="P40" s="190">
        <f>K40*(1+'Trip Multipliers'!$I$5+((E40-$B$36)*(('Trip Multipliers'!$I$16-'Trip Multipliers'!$I$5)/($B$56-$B$36))))</f>
        <v>0</v>
      </c>
      <c r="Q40" s="215">
        <f t="shared" si="12"/>
        <v>0</v>
      </c>
      <c r="R40" s="215">
        <f>(L40-G40)*'[1]Trip Multipliers'!$J$9</f>
        <v>1569.6826461003282</v>
      </c>
      <c r="S40" s="215">
        <f>(M40-H40)*'[1]Trip Multipliers'!$J$10</f>
        <v>4951.1343021872508</v>
      </c>
      <c r="T40" s="217">
        <f>R40*'[1]Trip Multipliers'!$C$25+S40*'[1]Trip Multipliers'!$C$26</f>
        <v>5239.6129760076547</v>
      </c>
    </row>
    <row r="41" spans="1:21">
      <c r="A41" s="202">
        <v>17</v>
      </c>
      <c r="B41" s="218">
        <v>2039</v>
      </c>
      <c r="C41" s="284">
        <f t="shared" si="7"/>
        <v>0</v>
      </c>
      <c r="D41" s="190">
        <f t="shared" si="8"/>
        <v>13821.870376946044</v>
      </c>
      <c r="E41" s="190">
        <f t="shared" si="2"/>
        <v>4680.8630123412831</v>
      </c>
      <c r="F41" s="182">
        <f t="shared" si="3"/>
        <v>158.67332245224688</v>
      </c>
      <c r="G41" s="215">
        <f t="shared" si="4"/>
        <v>82510.127675168376</v>
      </c>
      <c r="H41" s="215">
        <f t="shared" si="5"/>
        <v>253585.7480973592</v>
      </c>
      <c r="I41" s="190">
        <f t="shared" si="9"/>
        <v>7.1199567767033862</v>
      </c>
      <c r="J41" s="215">
        <f t="shared" si="6"/>
        <v>3702.3775238857611</v>
      </c>
      <c r="K41" s="286">
        <f t="shared" si="10"/>
        <v>0</v>
      </c>
      <c r="L41" s="284">
        <f>G41*(1+'Trip Multipliers'!$J$5+(($B41-$B$36)*(('Trip Multipliers'!$J$16-'Trip Multipliers'!$J$5)/($B$56-$B$36))))</f>
        <v>84353.478639784065</v>
      </c>
      <c r="M41" s="190">
        <f>H41*(1+'Trip Multipliers'!$J$5+((B41-$B$36)*(('Trip Multipliers'!$J$16-'Trip Multipliers'!$J$5)/($B$56-$B$36))))</f>
        <v>259251.08333000288</v>
      </c>
      <c r="N41" s="215">
        <f t="shared" si="11"/>
        <v>7508.686197259347</v>
      </c>
      <c r="O41" s="190">
        <f>J41*(1+'Trip Multipliers'!$I$5+(($B41-$B$36)*(('Trip Multipliers'!$I$16-'Trip Multipliers'!$I$5)/($B$56-$B$36))))</f>
        <v>3702.3775238857611</v>
      </c>
      <c r="P41" s="190">
        <f>K41*(1+'Trip Multipliers'!$I$5+((E41-$B$36)*(('Trip Multipliers'!$I$16-'Trip Multipliers'!$I$5)/($B$56-$B$36))))</f>
        <v>0</v>
      </c>
      <c r="Q41" s="215">
        <f t="shared" si="12"/>
        <v>0</v>
      </c>
      <c r="R41" s="215">
        <f>(L41-G41)*'[1]Trip Multipliers'!$J$9</f>
        <v>1608.0036041911035</v>
      </c>
      <c r="S41" s="215">
        <f>(M41-H41)*'[1]Trip Multipliers'!$J$10</f>
        <v>5072.0072764583956</v>
      </c>
      <c r="T41" s="217">
        <f>R41*'[1]Trip Multipliers'!$C$25+S41*'[1]Trip Multipliers'!$C$26</f>
        <v>5367.5286344780625</v>
      </c>
    </row>
    <row r="42" spans="1:21">
      <c r="A42" s="202">
        <v>18</v>
      </c>
      <c r="B42" s="202">
        <v>2040</v>
      </c>
      <c r="C42" s="284">
        <f t="shared" si="7"/>
        <v>0</v>
      </c>
      <c r="D42" s="190">
        <f t="shared" si="8"/>
        <v>13835.69224732299</v>
      </c>
      <c r="E42" s="190">
        <f t="shared" si="2"/>
        <v>4685.5438753536246</v>
      </c>
      <c r="F42" s="182">
        <f t="shared" si="3"/>
        <v>158.83199577469912</v>
      </c>
      <c r="G42" s="215">
        <f t="shared" si="4"/>
        <v>82592.637802843557</v>
      </c>
      <c r="H42" s="215">
        <f t="shared" si="5"/>
        <v>253839.33384545654</v>
      </c>
      <c r="I42" s="190">
        <f t="shared" si="9"/>
        <v>7.1270767334800889</v>
      </c>
      <c r="J42" s="215">
        <f t="shared" si="6"/>
        <v>3706.0799014096465</v>
      </c>
      <c r="K42" s="286">
        <f t="shared" si="10"/>
        <v>0</v>
      </c>
      <c r="L42" s="284">
        <f>G42*(1+'Trip Multipliers'!$J$5+(($B42-$B$36)*(('Trip Multipliers'!$J$16-'Trip Multipliers'!$J$5)/($B$56-$B$36))))</f>
        <v>84480.004439657525</v>
      </c>
      <c r="M42" s="190">
        <f>H42*(1+'Trip Multipliers'!$J$5+((B42-$B$36)*(('Trip Multipliers'!$J$16-'Trip Multipliers'!$J$5)/($B$56-$B$36))))</f>
        <v>259639.94637649864</v>
      </c>
      <c r="N42" s="215">
        <f t="shared" si="11"/>
        <v>7687.9791678561014</v>
      </c>
      <c r="O42" s="190">
        <f>J42*(1+'Trip Multipliers'!$I$5+(($B42-$B$36)*(('Trip Multipliers'!$I$16-'Trip Multipliers'!$I$5)/($B$56-$B$36))))</f>
        <v>3706.0799014096465</v>
      </c>
      <c r="P42" s="190">
        <f>K42*(1+'Trip Multipliers'!$I$5+((E42-$B$36)*(('Trip Multipliers'!$I$16-'Trip Multipliers'!$I$5)/($B$56-$B$36))))</f>
        <v>0</v>
      </c>
      <c r="Q42" s="215">
        <f t="shared" si="12"/>
        <v>0</v>
      </c>
      <c r="R42" s="215">
        <f>(L42-G42)*'[1]Trip Multipliers'!$J$9</f>
        <v>1646.3996345154112</v>
      </c>
      <c r="S42" s="215">
        <f>(M42-H42)*'[1]Trip Multipliers'!$J$10</f>
        <v>5193.1170455437295</v>
      </c>
      <c r="T42" s="217">
        <f>R42*'[1]Trip Multipliers'!$C$25+S42*'[1]Trip Multipliers'!$C$26</f>
        <v>5495.6948846523919</v>
      </c>
    </row>
    <row r="43" spans="1:21">
      <c r="A43" s="202">
        <v>19</v>
      </c>
      <c r="B43" s="202">
        <v>2041</v>
      </c>
      <c r="C43" s="284">
        <f t="shared" si="7"/>
        <v>0</v>
      </c>
      <c r="D43" s="190">
        <f t="shared" si="8"/>
        <v>13849.527939570309</v>
      </c>
      <c r="E43" s="190">
        <f t="shared" si="2"/>
        <v>4690.2294192289764</v>
      </c>
      <c r="F43" s="182">
        <f t="shared" si="3"/>
        <v>158.99082777047377</v>
      </c>
      <c r="G43" s="215">
        <f t="shared" si="4"/>
        <v>82675.230440646352</v>
      </c>
      <c r="H43" s="215">
        <f t="shared" si="5"/>
        <v>254093.17317930193</v>
      </c>
      <c r="I43" s="190">
        <f t="shared" si="9"/>
        <v>7.1342038102135676</v>
      </c>
      <c r="J43" s="215">
        <f t="shared" si="6"/>
        <v>3709.7859813110549</v>
      </c>
      <c r="K43" s="286">
        <f t="shared" si="10"/>
        <v>0</v>
      </c>
      <c r="L43" s="284">
        <f>G43*(1+'Trip Multipliers'!$J$5+(($B43-$B$36)*(('Trip Multipliers'!$J$16-'Trip Multipliers'!$J$5)/($B$56-$B$36))))</f>
        <v>84606.698937652036</v>
      </c>
      <c r="M43" s="190">
        <f>H43*(1+'Trip Multipliers'!$J$5+((B43-$B$36)*(('Trip Multipliers'!$J$16-'Trip Multipliers'!$J$5)/($B$56-$B$36))))</f>
        <v>260029.32789800409</v>
      </c>
      <c r="N43" s="215">
        <f t="shared" si="11"/>
        <v>7867.6232157078339</v>
      </c>
      <c r="O43" s="190">
        <f>J43*(1+'Trip Multipliers'!$I$5+(($B43-$B$36)*(('Trip Multipliers'!$I$16-'Trip Multipliers'!$I$5)/($B$56-$B$36))))</f>
        <v>3709.7859813110549</v>
      </c>
      <c r="P43" s="190">
        <f>K43*(1+'Trip Multipliers'!$I$5+((E43-$B$36)*(('Trip Multipliers'!$I$16-'Trip Multipliers'!$I$5)/($B$56-$B$36))))</f>
        <v>0</v>
      </c>
      <c r="Q43" s="215">
        <f t="shared" si="12"/>
        <v>0</v>
      </c>
      <c r="R43" s="215">
        <f>(L43-G43)*'[1]Trip Multipliers'!$J$9</f>
        <v>1684.8708488967688</v>
      </c>
      <c r="S43" s="215">
        <f>(M43-H43)*'[1]Trip Multipliers'!$J$10</f>
        <v>5314.4639621600145</v>
      </c>
      <c r="T43" s="217">
        <f>R43*'[1]Trip Multipliers'!$C$25+S43*'[1]Trip Multipliers'!$C$26</f>
        <v>5624.1120997984854</v>
      </c>
    </row>
    <row r="44" spans="1:21">
      <c r="A44" s="202">
        <v>20</v>
      </c>
      <c r="B44" s="218">
        <v>2042</v>
      </c>
      <c r="C44" s="284">
        <f t="shared" si="7"/>
        <v>0</v>
      </c>
      <c r="D44" s="190">
        <f t="shared" si="8"/>
        <v>13863.377467509879</v>
      </c>
      <c r="E44" s="190">
        <f t="shared" si="2"/>
        <v>4694.9196486482051</v>
      </c>
      <c r="F44" s="182">
        <f t="shared" si="3"/>
        <v>159.14981859824425</v>
      </c>
      <c r="G44" s="215">
        <f t="shared" si="4"/>
        <v>82757.905671087006</v>
      </c>
      <c r="H44" s="215">
        <f t="shared" si="5"/>
        <v>254347.26635248124</v>
      </c>
      <c r="I44" s="190">
        <f t="shared" si="9"/>
        <v>7.1413380140237805</v>
      </c>
      <c r="J44" s="215">
        <f t="shared" si="6"/>
        <v>3713.4957672923661</v>
      </c>
      <c r="K44" s="286">
        <f t="shared" si="10"/>
        <v>0</v>
      </c>
      <c r="L44" s="284">
        <f>G44*(1+'Trip Multipliers'!$J$5+(($B44-$B$36)*(('Trip Multipliers'!$J$16-'Trip Multipliers'!$J$5)/($B$56-$B$36))))</f>
        <v>84733.562344638151</v>
      </c>
      <c r="M44" s="190">
        <f>H44*(1+'Trip Multipliers'!$J$5+((B44-$B$36)*(('Trip Multipliers'!$J$16-'Trip Multipliers'!$J$5)/($B$56-$B$36))))</f>
        <v>260419.2285426062</v>
      </c>
      <c r="N44" s="215">
        <f t="shared" si="11"/>
        <v>8047.6188636760926</v>
      </c>
      <c r="O44" s="190">
        <f>J44*(1+'Trip Multipliers'!$I$5+(($B44-$B$36)*(('Trip Multipliers'!$I$16-'Trip Multipliers'!$I$5)/($B$56-$B$36))))</f>
        <v>3713.4957672923661</v>
      </c>
      <c r="P44" s="190">
        <f>K44*(1+'Trip Multipliers'!$I$5+((E44-$B$36)*(('Trip Multipliers'!$I$16-'Trip Multipliers'!$I$5)/($B$56-$B$36))))</f>
        <v>0</v>
      </c>
      <c r="Q44" s="215">
        <f t="shared" si="12"/>
        <v>0</v>
      </c>
      <c r="R44" s="215">
        <f>(L44-G44)*'[1]Trip Multipliers'!$J$9</f>
        <v>1723.4173593072517</v>
      </c>
      <c r="S44" s="215">
        <f>(M44-H44)*'[1]Trip Multipliers'!$J$10</f>
        <v>5436.0483794924412</v>
      </c>
      <c r="T44" s="217">
        <f>R44*'[1]Trip Multipliers'!$C$25+S44*'[1]Trip Multipliers'!$C$26</f>
        <v>5752.7806536799471</v>
      </c>
    </row>
    <row r="45" spans="1:21">
      <c r="A45" s="202">
        <v>21</v>
      </c>
      <c r="B45" s="202">
        <v>2043</v>
      </c>
      <c r="C45" s="284">
        <f t="shared" si="7"/>
        <v>0</v>
      </c>
      <c r="D45" s="190">
        <f t="shared" si="8"/>
        <v>13877.240844977387</v>
      </c>
      <c r="E45" s="190">
        <f t="shared" si="2"/>
        <v>4699.6145682968527</v>
      </c>
      <c r="F45" s="182">
        <f t="shared" si="3"/>
        <v>159.30896841684248</v>
      </c>
      <c r="G45" s="215">
        <f t="shared" si="4"/>
        <v>82840.663576758088</v>
      </c>
      <c r="H45" s="215">
        <f t="shared" si="5"/>
        <v>254601.61361883368</v>
      </c>
      <c r="I45" s="190">
        <f t="shared" si="9"/>
        <v>7.1484793520378034</v>
      </c>
      <c r="J45" s="215">
        <f t="shared" si="6"/>
        <v>3717.2092630596576</v>
      </c>
      <c r="K45" s="286">
        <f t="shared" si="10"/>
        <v>0</v>
      </c>
      <c r="L45" s="284">
        <f>G45*(1+'Trip Multipliers'!$J$5+(($B45-$B$36)*(('Trip Multipliers'!$J$16-'Trip Multipliers'!$J$5)/($B$56-$B$36))))</f>
        <v>84860.594871739289</v>
      </c>
      <c r="M45" s="190">
        <f>H45*(1+'Trip Multipliers'!$J$5+((B45-$B$36)*(('Trip Multipliers'!$J$16-'Trip Multipliers'!$J$5)/($B$56-$B$36))))</f>
        <v>260809.64895916963</v>
      </c>
      <c r="N45" s="215">
        <f t="shared" si="11"/>
        <v>8227.9666353171342</v>
      </c>
      <c r="O45" s="190">
        <f>J45*(1+'Trip Multipliers'!$I$5+(($B45-$B$36)*(('Trip Multipliers'!$I$16-'Trip Multipliers'!$I$5)/($B$56-$B$36))))</f>
        <v>3717.2092630596576</v>
      </c>
      <c r="P45" s="190">
        <f>K45*(1+'Trip Multipliers'!$I$5+((E45-$B$36)*(('Trip Multipliers'!$I$16-'Trip Multipliers'!$I$5)/($B$56-$B$36))))</f>
        <v>0</v>
      </c>
      <c r="Q45" s="215">
        <f t="shared" si="12"/>
        <v>0</v>
      </c>
      <c r="R45" s="215">
        <f>(L45-G45)*'[1]Trip Multipliers'!$J$9</f>
        <v>1762.0392778677094</v>
      </c>
      <c r="S45" s="215">
        <f>(M45-H45)*'[1]Trip Multipliers'!$J$10</f>
        <v>5557.8706511956234</v>
      </c>
      <c r="T45" s="217">
        <f>R45*'[1]Trip Multipliers'!$C$25+S45*'[1]Trip Multipliers'!$C$26</f>
        <v>5881.7009205571176</v>
      </c>
    </row>
    <row r="46" spans="1:21">
      <c r="A46" s="202">
        <v>22</v>
      </c>
      <c r="B46" s="202">
        <v>2044</v>
      </c>
      <c r="C46" s="284">
        <f t="shared" si="7"/>
        <v>0</v>
      </c>
      <c r="D46" s="190">
        <f t="shared" si="8"/>
        <v>13891.11808582236</v>
      </c>
      <c r="E46" s="190">
        <f t="shared" si="2"/>
        <v>4704.3141828651487</v>
      </c>
      <c r="F46" s="182">
        <f t="shared" si="3"/>
        <v>159.46827738525928</v>
      </c>
      <c r="G46" s="215">
        <f t="shared" si="4"/>
        <v>82923.504240334834</v>
      </c>
      <c r="H46" s="215">
        <f t="shared" si="5"/>
        <v>254856.21523245244</v>
      </c>
      <c r="I46" s="190">
        <f t="shared" si="9"/>
        <v>7.1556278313898387</v>
      </c>
      <c r="J46" s="215">
        <f t="shared" si="6"/>
        <v>3720.9264723227161</v>
      </c>
      <c r="K46" s="286">
        <f t="shared" si="10"/>
        <v>0</v>
      </c>
      <c r="L46" s="284">
        <f>G46*(1+'Trip Multipliers'!$J$5+(($B46-$B$36)*(('Trip Multipliers'!$J$16-'Trip Multipliers'!$J$5)/($B$56-$B$36))))</f>
        <v>84987.796730332266</v>
      </c>
      <c r="M46" s="190">
        <f>H46*(1+'Trip Multipliers'!$J$5+((B46-$B$36)*(('Trip Multipliers'!$J$16-'Trip Multipliers'!$J$5)/($B$56-$B$36))))</f>
        <v>261200.58979733754</v>
      </c>
      <c r="N46" s="215">
        <f t="shared" si="11"/>
        <v>8408.6670548825059</v>
      </c>
      <c r="O46" s="190">
        <f>J46*(1+'Trip Multipliers'!$I$5+(($B46-$B$36)*(('Trip Multipliers'!$I$16-'Trip Multipliers'!$I$5)/($B$56-$B$36))))</f>
        <v>3720.9264723227161</v>
      </c>
      <c r="P46" s="190">
        <f>K46*(1+'Trip Multipliers'!$I$5+((E46-$B$36)*(('Trip Multipliers'!$I$16-'Trip Multipliers'!$I$5)/($B$56-$B$36))))</f>
        <v>0</v>
      </c>
      <c r="Q46" s="215">
        <f t="shared" si="12"/>
        <v>0</v>
      </c>
      <c r="R46" s="215">
        <f>(L46-G46)*'[1]Trip Multipliers'!$J$9</f>
        <v>1800.7367168479173</v>
      </c>
      <c r="S46" s="215">
        <f>(M46-H46)*'[1]Trip Multipliers'!$J$10</f>
        <v>5679.9311313937787</v>
      </c>
      <c r="T46" s="217">
        <f>R46*'[1]Trip Multipliers'!$C$25+S46*'[1]Trip Multipliers'!$C$26</f>
        <v>6010.8732751873367</v>
      </c>
    </row>
    <row r="47" spans="1:21">
      <c r="A47" s="202">
        <v>23</v>
      </c>
      <c r="B47" s="218">
        <v>2045</v>
      </c>
      <c r="C47" s="284">
        <f t="shared" si="7"/>
        <v>0</v>
      </c>
      <c r="D47" s="190">
        <f t="shared" si="8"/>
        <v>13905.009203908181</v>
      </c>
      <c r="E47" s="190">
        <f t="shared" si="2"/>
        <v>4709.0184970480132</v>
      </c>
      <c r="F47" s="182">
        <f t="shared" si="3"/>
        <v>159.62774566264451</v>
      </c>
      <c r="G47" s="215">
        <f t="shared" si="4"/>
        <v>83006.42774457515</v>
      </c>
      <c r="H47" s="215">
        <f t="shared" si="5"/>
        <v>255111.07144768484</v>
      </c>
      <c r="I47" s="190">
        <f t="shared" si="9"/>
        <v>7.1627834592212274</v>
      </c>
      <c r="J47" s="215">
        <f t="shared" si="6"/>
        <v>3724.6473987950385</v>
      </c>
      <c r="K47" s="286">
        <f t="shared" si="10"/>
        <v>0</v>
      </c>
      <c r="L47" s="284">
        <f>G47*(1+'Trip Multipliers'!$J$5+(($B47-$B$36)*(('Trip Multipliers'!$J$16-'Trip Multipliers'!$J$5)/($B$56-$B$36))))</f>
        <v>85115.168132047576</v>
      </c>
      <c r="M47" s="190">
        <f>H47*(1+'Trip Multipliers'!$J$5+((B47-$B$36)*(('Trip Multipliers'!$J$16-'Trip Multipliers'!$J$5)/($B$56-$B$36))))</f>
        <v>261592.0517075329</v>
      </c>
      <c r="N47" s="215">
        <f t="shared" si="11"/>
        <v>8589.7206473205006</v>
      </c>
      <c r="O47" s="190">
        <f>J47*(1+'Trip Multipliers'!$I$5+(($B47-$B$36)*(('Trip Multipliers'!$I$16-'Trip Multipliers'!$I$5)/($B$56-$B$36))))</f>
        <v>3724.6473987950385</v>
      </c>
      <c r="P47" s="190">
        <f>K47*(1+'Trip Multipliers'!$I$5+((E47-$B$36)*(('Trip Multipliers'!$I$16-'Trip Multipliers'!$I$5)/($B$56-$B$36))))</f>
        <v>0</v>
      </c>
      <c r="Q47" s="215">
        <f t="shared" si="12"/>
        <v>0</v>
      </c>
      <c r="R47" s="215">
        <f>(L47-G47)*'[1]Trip Multipliers'!$J$9</f>
        <v>1839.5097886668309</v>
      </c>
      <c r="S47" s="215">
        <f>(M47-H47)*'[1]Trip Multipliers'!$J$10</f>
        <v>5802.2301746817175</v>
      </c>
      <c r="T47" s="217">
        <f>R47*'[1]Trip Multipliers'!$C$25+S47*'[1]Trip Multipliers'!$C$26</f>
        <v>6140.2980928259431</v>
      </c>
    </row>
    <row r="48" spans="1:21">
      <c r="A48" s="202">
        <v>24</v>
      </c>
      <c r="B48" s="202">
        <v>2046</v>
      </c>
      <c r="C48" s="284">
        <f t="shared" si="7"/>
        <v>0</v>
      </c>
      <c r="D48" s="190">
        <f t="shared" si="8"/>
        <v>13918.914213112092</v>
      </c>
      <c r="E48" s="190">
        <f t="shared" si="2"/>
        <v>4713.7275155450616</v>
      </c>
      <c r="F48" s="182">
        <f t="shared" si="3"/>
        <v>159.78737340830716</v>
      </c>
      <c r="G48" s="215">
        <f t="shared" si="4"/>
        <v>83089.434172319729</v>
      </c>
      <c r="H48" s="215">
        <f t="shared" si="5"/>
        <v>255366.18251913256</v>
      </c>
      <c r="I48" s="190">
        <f t="shared" si="9"/>
        <v>7.1699462426804503</v>
      </c>
      <c r="J48" s="215">
        <f t="shared" si="6"/>
        <v>3728.3720461938342</v>
      </c>
      <c r="K48" s="286">
        <f t="shared" si="10"/>
        <v>0</v>
      </c>
      <c r="L48" s="284">
        <f>G48*(1+'Trip Multipliers'!$J$5+(($B48-$B$36)*(('Trip Multipliers'!$J$16-'Trip Multipliers'!$J$5)/($B$56-$B$36))))</f>
        <v>85242.709288769576</v>
      </c>
      <c r="M48" s="190">
        <f>H48*(1+'Trip Multipliers'!$J$5+((B48-$B$36)*(('Trip Multipliers'!$J$16-'Trip Multipliers'!$J$5)/($B$56-$B$36))))</f>
        <v>261984.03534095889</v>
      </c>
      <c r="N48" s="215">
        <f t="shared" si="11"/>
        <v>8771.127938276215</v>
      </c>
      <c r="O48" s="190">
        <f>J48*(1+'Trip Multipliers'!$I$5+(($B48-$B$36)*(('Trip Multipliers'!$I$16-'Trip Multipliers'!$I$5)/($B$56-$B$36))))</f>
        <v>3728.3720461938342</v>
      </c>
      <c r="P48" s="190">
        <f>K48*(1+'Trip Multipliers'!$I$5+((E48-$B$36)*(('Trip Multipliers'!$I$16-'Trip Multipliers'!$I$5)/($B$56-$B$36))))</f>
        <v>0</v>
      </c>
      <c r="Q48" s="215">
        <f t="shared" si="12"/>
        <v>0</v>
      </c>
      <c r="R48" s="215">
        <f>(L48-G48)*'[1]Trip Multipliers'!$J$9</f>
        <v>1878.3586058926369</v>
      </c>
      <c r="S48" s="215">
        <f>(M48-H48)*'[1]Trip Multipliers'!$J$10</f>
        <v>5924.7681361250516</v>
      </c>
      <c r="T48" s="217">
        <f>R48*'[1]Trip Multipliers'!$C$25+S48*'[1]Trip Multipliers'!$C$26</f>
        <v>6269.9757492264907</v>
      </c>
    </row>
    <row r="49" spans="1:20">
      <c r="A49" s="202">
        <v>25</v>
      </c>
      <c r="B49" s="202">
        <v>2047</v>
      </c>
      <c r="C49" s="284">
        <f t="shared" si="7"/>
        <v>0</v>
      </c>
      <c r="D49" s="190">
        <f t="shared" si="8"/>
        <v>13932.833127325202</v>
      </c>
      <c r="E49" s="190">
        <f t="shared" si="2"/>
        <v>4718.4412430606062</v>
      </c>
      <c r="F49" s="182">
        <f t="shared" si="3"/>
        <v>159.94716078171547</v>
      </c>
      <c r="G49" s="215">
        <f t="shared" si="4"/>
        <v>83172.523606492032</v>
      </c>
      <c r="H49" s="215">
        <f t="shared" si="5"/>
        <v>255621.54870165169</v>
      </c>
      <c r="I49" s="190">
        <f t="shared" si="9"/>
        <v>7.1771161889231303</v>
      </c>
      <c r="J49" s="215">
        <f t="shared" si="6"/>
        <v>3732.1004182400279</v>
      </c>
      <c r="K49" s="286">
        <f t="shared" si="10"/>
        <v>0</v>
      </c>
      <c r="L49" s="284">
        <f>G49*(1+'Trip Multipliers'!$J$5+(($B49-$B$36)*(('Trip Multipliers'!$J$16-'Trip Multipliers'!$J$5)/($B$56-$B$36))))</f>
        <v>85370.4204126369</v>
      </c>
      <c r="M49" s="190">
        <f>H49*(1+'Trip Multipliers'!$J$5+((B49-$B$36)*(('Trip Multipliers'!$J$16-'Trip Multipliers'!$J$5)/($B$56-$B$36))))</f>
        <v>262376.54134960001</v>
      </c>
      <c r="N49" s="215">
        <f t="shared" si="11"/>
        <v>8952.8894540931797</v>
      </c>
      <c r="O49" s="190">
        <f>J49*(1+'Trip Multipliers'!$I$5+(($B49-$B$36)*(('Trip Multipliers'!$I$16-'Trip Multipliers'!$I$5)/($B$56-$B$36))))</f>
        <v>3732.1004182400279</v>
      </c>
      <c r="P49" s="190">
        <f>K49*(1+'Trip Multipliers'!$I$5+((E49-$B$36)*(('Trip Multipliers'!$I$16-'Trip Multipliers'!$I$5)/($B$56-$B$36))))</f>
        <v>0</v>
      </c>
      <c r="Q49" s="215">
        <f t="shared" si="12"/>
        <v>0</v>
      </c>
      <c r="R49" s="215">
        <f>(L49-G49)*'[1]Trip Multipliers'!$J$9</f>
        <v>1917.2832812431336</v>
      </c>
      <c r="S49" s="215">
        <f>(M49-H49)*'[1]Trip Multipliers'!$J$10</f>
        <v>6047.5453712611361</v>
      </c>
      <c r="T49" s="217">
        <f>R49*'[1]Trip Multipliers'!$C$25+S49*'[1]Trip Multipliers'!$C$26</f>
        <v>6399.9066206417992</v>
      </c>
    </row>
    <row r="50" spans="1:20">
      <c r="A50" s="202">
        <v>26</v>
      </c>
      <c r="B50" s="218">
        <v>2048</v>
      </c>
      <c r="C50" s="284">
        <f t="shared" si="7"/>
        <v>0</v>
      </c>
      <c r="D50" s="190">
        <f t="shared" si="8"/>
        <v>13946.765960452525</v>
      </c>
      <c r="E50" s="190">
        <f t="shared" si="2"/>
        <v>4723.1596843036659</v>
      </c>
      <c r="F50" s="182">
        <f t="shared" si="3"/>
        <v>160.10710794249715</v>
      </c>
      <c r="G50" s="215">
        <f t="shared" si="4"/>
        <v>83255.696130098513</v>
      </c>
      <c r="H50" s="215">
        <f t="shared" si="5"/>
        <v>255877.17025035329</v>
      </c>
      <c r="I50" s="190">
        <f t="shared" si="9"/>
        <v>7.1842933051120523</v>
      </c>
      <c r="J50" s="215">
        <f t="shared" si="6"/>
        <v>3735.8325186582674</v>
      </c>
      <c r="K50" s="286">
        <f t="shared" si="10"/>
        <v>0</v>
      </c>
      <c r="L50" s="284">
        <f>G50*(1+'Trip Multipliers'!$J$5+(($B50-$B$36)*(('Trip Multipliers'!$J$16-'Trip Multipliers'!$J$5)/($B$56-$B$36))))</f>
        <v>85498.301716042653</v>
      </c>
      <c r="M50" s="190">
        <f>H50*(1+'Trip Multipliers'!$J$5+((B50-$B$36)*(('Trip Multipliers'!$J$16-'Trip Multipliers'!$J$5)/($B$56-$B$36))))</f>
        <v>262769.57038622303</v>
      </c>
      <c r="N50" s="215">
        <f t="shared" si="11"/>
        <v>9135.0057218138827</v>
      </c>
      <c r="O50" s="190">
        <f>J50*(1+'Trip Multipliers'!$I$5+(($B50-$B$36)*(('Trip Multipliers'!$I$16-'Trip Multipliers'!$I$5)/($B$56-$B$36))))</f>
        <v>3735.8325186582674</v>
      </c>
      <c r="P50" s="190">
        <f>K50*(1+'Trip Multipliers'!$I$5+((E50-$B$36)*(('Trip Multipliers'!$I$16-'Trip Multipliers'!$I$5)/($B$56-$B$36))))</f>
        <v>0</v>
      </c>
      <c r="Q50" s="215">
        <f t="shared" si="12"/>
        <v>0</v>
      </c>
      <c r="R50" s="215">
        <f>(L50-G50)*'[1]Trip Multipliers'!$J$9</f>
        <v>1956.2839275857054</v>
      </c>
      <c r="S50" s="215">
        <f>(M50-H50)*'[1]Trip Multipliers'!$J$10</f>
        <v>6170.5622360993493</v>
      </c>
      <c r="T50" s="217">
        <f>R50*'[1]Trip Multipliers'!$C$25+S50*'[1]Trip Multipliers'!$C$26</f>
        <v>6530.0910838241671</v>
      </c>
    </row>
    <row r="51" spans="1:20">
      <c r="A51" s="202">
        <v>27</v>
      </c>
      <c r="B51" s="202">
        <v>2049</v>
      </c>
      <c r="C51" s="284">
        <f t="shared" si="7"/>
        <v>0</v>
      </c>
      <c r="D51" s="190">
        <f t="shared" si="8"/>
        <v>13960.712726412974</v>
      </c>
      <c r="E51" s="190">
        <f t="shared" si="2"/>
        <v>4727.882843987969</v>
      </c>
      <c r="F51" s="182">
        <f t="shared" si="3"/>
        <v>160.26721505043963</v>
      </c>
      <c r="G51" s="215">
        <f t="shared" si="4"/>
        <v>83338.951826228615</v>
      </c>
      <c r="H51" s="215">
        <f t="shared" si="5"/>
        <v>256133.04742060357</v>
      </c>
      <c r="I51" s="190">
        <f t="shared" si="9"/>
        <v>7.1914775984171619</v>
      </c>
      <c r="J51" s="215">
        <f t="shared" si="6"/>
        <v>3739.5683511769248</v>
      </c>
      <c r="K51" s="286">
        <f t="shared" si="10"/>
        <v>0</v>
      </c>
      <c r="L51" s="284">
        <f>G51*(1+'Trip Multipliers'!$J$5+(($B51-$B$36)*(('Trip Multipliers'!$J$16-'Trip Multipliers'!$J$5)/($B$56-$B$36))))</f>
        <v>85626.353411634831</v>
      </c>
      <c r="M51" s="190">
        <f>H51*(1+'Trip Multipliers'!$J$5+((B51-$B$36)*(('Trip Multipliers'!$J$16-'Trip Multipliers'!$J$5)/($B$56-$B$36))))</f>
        <v>263163.12310437794</v>
      </c>
      <c r="N51" s="215">
        <f t="shared" si="11"/>
        <v>9317.4772691805847</v>
      </c>
      <c r="O51" s="190">
        <f>J51*(1+'Trip Multipliers'!$I$5+(($B51-$B$36)*(('Trip Multipliers'!$I$16-'Trip Multipliers'!$I$5)/($B$56-$B$36))))</f>
        <v>3739.5683511769248</v>
      </c>
      <c r="P51" s="190">
        <f>K51*(1+'Trip Multipliers'!$I$5+((E51-$B$36)*(('Trip Multipliers'!$I$16-'Trip Multipliers'!$I$5)/($B$56-$B$36))))</f>
        <v>0</v>
      </c>
      <c r="Q51" s="215">
        <f t="shared" si="12"/>
        <v>0</v>
      </c>
      <c r="R51" s="215">
        <f>(L51-G51)*'[1]Trip Multipliers'!$J$9</f>
        <v>1995.3606579376917</v>
      </c>
      <c r="S51" s="215">
        <f>(M51-H51)*'[1]Trip Multipliers'!$J$10</f>
        <v>6293.8190871218803</v>
      </c>
      <c r="T51" s="217">
        <f>R51*'[1]Trip Multipliers'!$C$25+S51*'[1]Trip Multipliers'!$C$26</f>
        <v>6660.5295160262976</v>
      </c>
    </row>
    <row r="52" spans="1:20">
      <c r="A52" s="202">
        <v>28</v>
      </c>
      <c r="B52" s="202">
        <v>2050</v>
      </c>
      <c r="C52" s="284">
        <f t="shared" si="7"/>
        <v>0</v>
      </c>
      <c r="D52" s="190">
        <f t="shared" si="8"/>
        <v>13974.673439139386</v>
      </c>
      <c r="E52" s="190">
        <f t="shared" si="2"/>
        <v>4732.6107268319556</v>
      </c>
      <c r="F52" s="182">
        <f t="shared" si="3"/>
        <v>160.42748226549003</v>
      </c>
      <c r="G52" s="215">
        <f t="shared" si="4"/>
        <v>83422.290778054812</v>
      </c>
      <c r="H52" s="215">
        <f t="shared" si="5"/>
        <v>256389.18046802416</v>
      </c>
      <c r="I52" s="190">
        <f t="shared" si="9"/>
        <v>7.1986690760155785</v>
      </c>
      <c r="J52" s="215">
        <f t="shared" si="6"/>
        <v>3743.3079195281007</v>
      </c>
      <c r="K52" s="286">
        <f t="shared" si="10"/>
        <v>0</v>
      </c>
      <c r="L52" s="284">
        <f>G52*(1+'Trip Multipliers'!$J$5+(($B52-$B$36)*(('Trip Multipliers'!$J$16-'Trip Multipliers'!$J$5)/($B$56-$B$36))))</f>
        <v>85754.575712316451</v>
      </c>
      <c r="M52" s="190">
        <f>H52*(1+'Trip Multipliers'!$J$5+((B52-$B$36)*(('Trip Multipliers'!$J$16-'Trip Multipliers'!$J$5)/($B$56-$B$36))))</f>
        <v>263557.20015839883</v>
      </c>
      <c r="N52" s="215">
        <f t="shared" si="11"/>
        <v>9500.3046246363083</v>
      </c>
      <c r="O52" s="190">
        <f>J52*(1+'Trip Multipliers'!$I$5+(($B52-$B$36)*(('Trip Multipliers'!$I$16-'Trip Multipliers'!$I$5)/($B$56-$B$36))))</f>
        <v>3743.3079195281007</v>
      </c>
      <c r="P52" s="190">
        <f>K52*(1+'Trip Multipliers'!$I$5+((E52-$B$36)*(('Trip Multipliers'!$I$16-'Trip Multipliers'!$I$5)/($B$56-$B$36))))</f>
        <v>0</v>
      </c>
      <c r="Q52" s="215">
        <f t="shared" si="12"/>
        <v>0</v>
      </c>
      <c r="R52" s="215">
        <f>(L52-G52)*'[1]Trip Multipliers'!$J$9</f>
        <v>2034.5135854664618</v>
      </c>
      <c r="S52" s="215">
        <f>(M52-H52)*'[1]Trip Multipliers'!$J$10</f>
        <v>6417.316281284222</v>
      </c>
      <c r="T52" s="217">
        <f>R52*'[1]Trip Multipliers'!$C$25+S52*'[1]Trip Multipliers'!$C$26</f>
        <v>6791.2222950017567</v>
      </c>
    </row>
    <row r="53" spans="1:20">
      <c r="A53" s="202">
        <v>29</v>
      </c>
      <c r="B53" s="218">
        <v>2051</v>
      </c>
      <c r="C53" s="284">
        <f t="shared" si="7"/>
        <v>0</v>
      </c>
      <c r="D53" s="190">
        <f t="shared" si="8"/>
        <v>13988.648112578525</v>
      </c>
      <c r="E53" s="190">
        <f t="shared" si="2"/>
        <v>4737.3433375587883</v>
      </c>
      <c r="F53" s="182">
        <f t="shared" si="3"/>
        <v>160.58790974775553</v>
      </c>
      <c r="G53" s="215">
        <f t="shared" si="4"/>
        <v>83505.713068832876</v>
      </c>
      <c r="H53" s="215">
        <f t="shared" si="5"/>
        <v>256645.56964849218</v>
      </c>
      <c r="I53" s="190">
        <f t="shared" si="9"/>
        <v>7.2058677450915942</v>
      </c>
      <c r="J53" s="215">
        <f t="shared" si="6"/>
        <v>3747.0512274476287</v>
      </c>
      <c r="K53" s="286">
        <f t="shared" si="10"/>
        <v>0</v>
      </c>
      <c r="L53" s="284">
        <f>G53*(1+'Trip Multipliers'!$J$5+(($B53-$B$36)*(('Trip Multipliers'!$J$16-'Trip Multipliers'!$J$5)/($B$56-$B$36))))</f>
        <v>85882.968831246035</v>
      </c>
      <c r="M53" s="190">
        <f>H53*(1+'Trip Multipliers'!$J$5+((B53-$B$36)*(('Trip Multipliers'!$J$16-'Trip Multipliers'!$J$5)/($B$56-$B$36))))</f>
        <v>263951.80220340466</v>
      </c>
      <c r="N53" s="215">
        <f t="shared" si="11"/>
        <v>9683.488317325653</v>
      </c>
      <c r="O53" s="190">
        <f>J53*(1+'Trip Multipliers'!$I$5+(($B53-$B$36)*(('Trip Multipliers'!$I$16-'Trip Multipliers'!$I$5)/($B$56-$B$36))))</f>
        <v>3747.0512274476287</v>
      </c>
      <c r="P53" s="190">
        <f>K53*(1+'Trip Multipliers'!$I$5+((E53-$B$36)*(('Trip Multipliers'!$I$16-'Trip Multipliers'!$I$5)/($B$56-$B$36))))</f>
        <v>0</v>
      </c>
      <c r="Q53" s="215">
        <f t="shared" si="12"/>
        <v>0</v>
      </c>
      <c r="R53" s="215">
        <f>(L53-G53)*'[1]Trip Multipliers'!$J$9</f>
        <v>2073.7428234896065</v>
      </c>
      <c r="S53" s="215">
        <f>(M53-H53)*'[1]Trip Multipliers'!$J$10</f>
        <v>6541.0541760157957</v>
      </c>
      <c r="T53" s="217">
        <f>R53*'[1]Trip Multipliers'!$C$25+S53*'[1]Trip Multipliers'!$C$26</f>
        <v>6922.1697990056273</v>
      </c>
    </row>
    <row r="54" spans="1:20">
      <c r="A54" s="202">
        <v>30</v>
      </c>
      <c r="B54" s="202">
        <v>2052</v>
      </c>
      <c r="C54" s="284">
        <f t="shared" si="7"/>
        <v>0</v>
      </c>
      <c r="D54" s="190">
        <f t="shared" si="8"/>
        <v>14002.636760691097</v>
      </c>
      <c r="E54" s="190">
        <f t="shared" si="2"/>
        <v>4742.0806808963453</v>
      </c>
      <c r="F54" s="182">
        <f t="shared" si="3"/>
        <v>160.74849765750324</v>
      </c>
      <c r="G54" s="215">
        <f t="shared" si="4"/>
        <v>83589.218781901684</v>
      </c>
      <c r="H54" s="215">
        <f t="shared" si="5"/>
        <v>256902.21521814057</v>
      </c>
      <c r="I54" s="190">
        <f t="shared" si="9"/>
        <v>7.2130736128366824</v>
      </c>
      <c r="J54" s="215">
        <f t="shared" si="6"/>
        <v>3750.7982786750745</v>
      </c>
      <c r="K54" s="286">
        <f t="shared" si="10"/>
        <v>0</v>
      </c>
      <c r="L54" s="284">
        <f>G54*(1+'Trip Multipliers'!$J$5+(($B54-$B$36)*(('Trip Multipliers'!$J$16-'Trip Multipliers'!$J$5)/($B$56-$B$36))))</f>
        <v>86011.53298183775</v>
      </c>
      <c r="M54" s="190">
        <f>H54*(1+'Trip Multipliers'!$J$5+((B54-$B$36)*(('Trip Multipliers'!$J$16-'Trip Multipliers'!$J$5)/($B$56-$B$36))))</f>
        <v>264346.92989530024</v>
      </c>
      <c r="N54" s="215">
        <f t="shared" si="11"/>
        <v>9867.0288770957268</v>
      </c>
      <c r="O54" s="190">
        <f>J54*(1+'Trip Multipliers'!$I$5+(($B54-$B$36)*(('Trip Multipliers'!$I$16-'Trip Multipliers'!$I$5)/($B$56-$B$36))))</f>
        <v>3750.7982786750745</v>
      </c>
      <c r="P54" s="190">
        <f>K54*(1+'Trip Multipliers'!$I$5+((E54-$B$36)*(('Trip Multipliers'!$I$16-'Trip Multipliers'!$I$5)/($B$56-$B$36))))</f>
        <v>0</v>
      </c>
      <c r="Q54" s="215">
        <f t="shared" si="12"/>
        <v>0</v>
      </c>
      <c r="R54" s="215">
        <f>(L54-G54)*'[1]Trip Multipliers'!$J$9</f>
        <v>2113.0484854752294</v>
      </c>
      <c r="S54" s="215">
        <f>(M54-H54)*'[1]Trip Multipliers'!$J$10</f>
        <v>6665.0331292205492</v>
      </c>
      <c r="T54" s="217">
        <f>R54*'[1]Trip Multipliers'!$C$25+S54*'[1]Trip Multipliers'!$C$26</f>
        <v>7053.3724067952207</v>
      </c>
    </row>
    <row r="55" spans="1:20">
      <c r="A55" s="202">
        <v>31</v>
      </c>
      <c r="B55" s="202">
        <v>2053</v>
      </c>
      <c r="C55" s="284">
        <f>$C$31*($D$28+1)^A55</f>
        <v>0</v>
      </c>
      <c r="D55" s="190">
        <f t="shared" si="8"/>
        <v>14016.639397451791</v>
      </c>
      <c r="E55" s="190">
        <f t="shared" si="2"/>
        <v>4746.8227615772421</v>
      </c>
      <c r="F55" s="182">
        <f t="shared" si="3"/>
        <v>160.90924615516076</v>
      </c>
      <c r="G55" s="215">
        <f t="shared" si="4"/>
        <v>83672.808000683595</v>
      </c>
      <c r="H55" s="215">
        <f t="shared" si="5"/>
        <v>257159.11743335874</v>
      </c>
      <c r="I55" s="190">
        <f t="shared" si="9"/>
        <v>7.2202866864495201</v>
      </c>
      <c r="J55" s="215">
        <f t="shared" si="6"/>
        <v>3754.549076953751</v>
      </c>
      <c r="K55" s="286">
        <f t="shared" si="10"/>
        <v>0</v>
      </c>
      <c r="L55" s="284">
        <f>G55*(1+'Trip Multipliers'!$J$5+(($B55-$B$36)*(('Trip Multipliers'!$J$16-'Trip Multipliers'!$J$5)/($B$56-$B$36))))</f>
        <v>86140.268377761851</v>
      </c>
      <c r="M55" s="190">
        <f>H55*(1+'Trip Multipliers'!$J$5+((B55-$B$36)*(('Trip Multipliers'!$J$16-'Trip Multipliers'!$J$5)/($B$56-$B$36))))</f>
        <v>264742.58389077749</v>
      </c>
      <c r="N55" s="215">
        <f t="shared" si="11"/>
        <v>10050.926834497019</v>
      </c>
      <c r="O55" s="190">
        <f>J55*(1+'Trip Multipliers'!$I$5+(($B55-$B$36)*(('Trip Multipliers'!$I$16-'Trip Multipliers'!$I$5)/($B$56-$B$36))))</f>
        <v>3754.549076953751</v>
      </c>
      <c r="P55" s="190">
        <f>K55*(1+'Trip Multipliers'!$I$5+((E55-$B$36)*(('Trip Multipliers'!$I$16-'Trip Multipliers'!$I$5)/($B$56-$B$36))))</f>
        <v>0</v>
      </c>
      <c r="Q55" s="215">
        <f t="shared" si="12"/>
        <v>0</v>
      </c>
      <c r="R55" s="215">
        <f>(L55-G55)*'[1]Trip Multipliers'!$J$9</f>
        <v>2152.4306850419975</v>
      </c>
      <c r="S55" s="215">
        <f>(M55-H55)*'[1]Trip Multipliers'!$J$10</f>
        <v>6789.2534992774818</v>
      </c>
      <c r="T55" s="217">
        <f>R55*'[1]Trip Multipliers'!$C$25+S55*'[1]Trip Multipliers'!$C$26</f>
        <v>7184.8304976305481</v>
      </c>
    </row>
    <row r="56" spans="1:20" ht="15" customHeight="1">
      <c r="A56" s="202">
        <v>32</v>
      </c>
      <c r="B56" s="218">
        <v>2054</v>
      </c>
      <c r="C56" s="285">
        <f>$C$31*($D$28+1)^A56</f>
        <v>0</v>
      </c>
      <c r="D56" s="219">
        <f t="shared" si="8"/>
        <v>14030.656036849237</v>
      </c>
      <c r="E56" s="219">
        <f>$E$31*(1+$D$28)^A56</f>
        <v>4751.5695843388175</v>
      </c>
      <c r="F56" s="295">
        <f t="shared" si="3"/>
        <v>161.07015540131584</v>
      </c>
      <c r="G56" s="220">
        <f>F56*2*5*52</f>
        <v>83756.480808684239</v>
      </c>
      <c r="H56" s="220">
        <f t="shared" si="5"/>
        <v>257416.27655079201</v>
      </c>
      <c r="I56" s="219">
        <f t="shared" si="9"/>
        <v>7.2275069731359673</v>
      </c>
      <c r="J56" s="220">
        <f t="shared" si="6"/>
        <v>3758.3036260307035</v>
      </c>
      <c r="K56" s="287">
        <f t="shared" si="10"/>
        <v>0</v>
      </c>
      <c r="L56" s="285">
        <f>G56*(1+'Trip Multipliers'!$J$5+(($B56-$B$36)*(('Trip Multipliers'!$J$16-'Trip Multipliers'!$J$5)/($B$56-$B$36))))</f>
        <v>86269.175232944763</v>
      </c>
      <c r="M56" s="219">
        <f>H56*(1+'Trip Multipliers'!$J$5+((B56-$B$36)*(('Trip Multipliers'!$J$16-'Trip Multipliers'!$J$5)/($B$56-$B$36))))</f>
        <v>265138.76484731579</v>
      </c>
      <c r="N56" s="220">
        <f t="shared" si="11"/>
        <v>10235.182720784331</v>
      </c>
      <c r="O56" s="219">
        <f>J56*(1+'Trip Multipliers'!$I$5+(($B56-$B$36)*(('Trip Multipliers'!$I$16-'Trip Multipliers'!$I$5)/($B$56-$B$36))))</f>
        <v>3758.3036260307035</v>
      </c>
      <c r="P56" s="219">
        <f>K56*(1+'Trip Multipliers'!$I$5+((E56-$B$36)*(('Trip Multipliers'!$I$16-'Trip Multipliers'!$I$5)/($B$56-$B$36))))</f>
        <v>0</v>
      </c>
      <c r="Q56" s="220">
        <f t="shared" si="12"/>
        <v>0</v>
      </c>
      <c r="R56" s="220">
        <f>(L56-G56)*'[1]Trip Multipliers'!$J$9</f>
        <v>2191.8895359594094</v>
      </c>
      <c r="S56" s="220">
        <f>(M56-H56)*'[1]Trip Multipliers'!$J$10</f>
        <v>6913.7156450415023</v>
      </c>
      <c r="T56" s="221">
        <f>R56*'[1]Trip Multipliers'!$C$25+S56*'[1]Trip Multipliers'!$C$26</f>
        <v>7316.544451275221</v>
      </c>
    </row>
    <row r="57" spans="1:20" ht="15" customHeight="1">
      <c r="C57" s="190"/>
      <c r="D57" s="190"/>
      <c r="E57" s="190"/>
      <c r="F57" s="190"/>
      <c r="H57" s="215"/>
      <c r="I57" s="190"/>
      <c r="J57" s="190"/>
      <c r="K57" s="214"/>
      <c r="L57" s="214"/>
      <c r="M57" s="214"/>
      <c r="N57" s="215"/>
      <c r="O57" s="214">
        <f>E56*0.015*2*5*52</f>
        <v>37062.242757842774</v>
      </c>
      <c r="P57" s="214"/>
      <c r="Q57" s="214"/>
      <c r="R57" s="215"/>
      <c r="S57" s="215"/>
      <c r="T57" s="214"/>
    </row>
    <row r="58" spans="1:20" ht="16.5" customHeight="1">
      <c r="B58" s="225" t="s">
        <v>483</v>
      </c>
    </row>
    <row r="59" spans="1:20">
      <c r="B59" s="183" t="s">
        <v>471</v>
      </c>
    </row>
    <row r="60" spans="1:20">
      <c r="B60" s="183" t="s">
        <v>484</v>
      </c>
    </row>
  </sheetData>
  <mergeCells count="3">
    <mergeCell ref="A2:E2"/>
    <mergeCell ref="C29:K29"/>
    <mergeCell ref="L29:T29"/>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election activeCell="B8" sqref="B8"/>
    </sheetView>
  </sheetViews>
  <sheetFormatPr defaultColWidth="9.140625" defaultRowHeight="15"/>
  <cols>
    <col min="1" max="1" width="28.5703125" style="5" customWidth="1"/>
    <col min="2" max="2" width="35.140625" style="5" customWidth="1"/>
    <col min="3" max="3" width="30.7109375" style="5" customWidth="1"/>
    <col min="4" max="4" width="29.140625" style="5" customWidth="1"/>
    <col min="5" max="16384" width="9.140625" style="5"/>
  </cols>
  <sheetData>
    <row r="1" spans="1:9" ht="20.25" thickBot="1">
      <c r="A1" s="96" t="s">
        <v>255</v>
      </c>
    </row>
    <row r="2" spans="1:9" ht="15.75" thickTop="1">
      <c r="A2" s="151" t="s">
        <v>238</v>
      </c>
      <c r="B2" s="151"/>
      <c r="C2" s="151"/>
      <c r="D2" s="151"/>
      <c r="E2" s="151"/>
      <c r="F2" s="151"/>
    </row>
    <row r="3" spans="1:9">
      <c r="A3" s="5" t="s">
        <v>20</v>
      </c>
    </row>
    <row r="4" spans="1:9">
      <c r="A4" s="152" t="s">
        <v>232</v>
      </c>
      <c r="B4" s="151"/>
      <c r="C4" s="151"/>
      <c r="D4" s="151"/>
      <c r="E4" s="151"/>
      <c r="F4" s="151"/>
      <c r="G4" s="151"/>
      <c r="H4" s="151"/>
      <c r="I4" s="151"/>
    </row>
    <row r="5" spans="1:9">
      <c r="A5" s="38" t="s">
        <v>20</v>
      </c>
    </row>
    <row r="6" spans="1:9">
      <c r="A6" s="97" t="s">
        <v>239</v>
      </c>
    </row>
    <row r="7" spans="1:9" ht="30">
      <c r="A7" s="116" t="s">
        <v>67</v>
      </c>
      <c r="B7" s="116" t="s">
        <v>75</v>
      </c>
    </row>
    <row r="8" spans="1:9">
      <c r="A8" s="35" t="s">
        <v>256</v>
      </c>
      <c r="B8" s="42">
        <f>'Parameter Values'!B53</f>
        <v>0.56000000000000005</v>
      </c>
    </row>
    <row r="9" spans="1:9">
      <c r="A9" s="35" t="s">
        <v>257</v>
      </c>
      <c r="B9" s="42">
        <f>'Parameter Values'!B54</f>
        <v>1.27</v>
      </c>
    </row>
    <row r="10" spans="1:9" ht="30">
      <c r="A10" s="116" t="s">
        <v>82</v>
      </c>
      <c r="B10" s="116" t="s">
        <v>81</v>
      </c>
    </row>
    <row r="11" spans="1:9">
      <c r="A11" s="130" t="s">
        <v>86</v>
      </c>
      <c r="B11" s="131" t="s">
        <v>258</v>
      </c>
    </row>
    <row r="12" spans="1:9">
      <c r="A12" s="35" t="s">
        <v>87</v>
      </c>
      <c r="B12" s="132">
        <f>'Parameter Values'!B63</f>
        <v>262</v>
      </c>
    </row>
    <row r="13" spans="1:9">
      <c r="A13" s="35" t="s">
        <v>88</v>
      </c>
      <c r="B13" s="132">
        <f>'Parameter Values'!B64</f>
        <v>282</v>
      </c>
    </row>
    <row r="14" spans="1:9">
      <c r="A14" s="35" t="s">
        <v>89</v>
      </c>
      <c r="B14" s="132">
        <f>'Parameter Values'!B65</f>
        <v>718</v>
      </c>
    </row>
    <row r="15" spans="1:9">
      <c r="A15" s="35" t="s">
        <v>90</v>
      </c>
      <c r="B15" s="132">
        <f>'Parameter Values'!B66</f>
        <v>323</v>
      </c>
    </row>
    <row r="16" spans="1:9">
      <c r="A16" s="130" t="s">
        <v>91</v>
      </c>
      <c r="B16" s="131" t="s">
        <v>258</v>
      </c>
    </row>
    <row r="17" spans="1:54">
      <c r="A17" s="35" t="s">
        <v>87</v>
      </c>
      <c r="B17" s="132">
        <f>'Parameter Values'!B68</f>
        <v>706</v>
      </c>
    </row>
    <row r="18" spans="1:54">
      <c r="A18" s="35" t="s">
        <v>88</v>
      </c>
      <c r="B18" s="132">
        <f>'Parameter Values'!B69</f>
        <v>687</v>
      </c>
    </row>
    <row r="19" spans="1:54">
      <c r="A19" s="35" t="s">
        <v>89</v>
      </c>
      <c r="B19" s="132">
        <f>'Parameter Values'!B70</f>
        <v>1123</v>
      </c>
    </row>
    <row r="20" spans="1:54">
      <c r="A20" s="35" t="s">
        <v>90</v>
      </c>
      <c r="B20" s="132">
        <f>'Parameter Values'!B71</f>
        <v>728</v>
      </c>
    </row>
    <row r="21" spans="1:54">
      <c r="A21" s="130" t="s">
        <v>92</v>
      </c>
      <c r="B21" s="131" t="s">
        <v>258</v>
      </c>
    </row>
    <row r="22" spans="1:54">
      <c r="A22" s="35" t="s">
        <v>93</v>
      </c>
      <c r="B22" s="42">
        <f>'Parameter Values'!B73</f>
        <v>1.07</v>
      </c>
    </row>
    <row r="23" spans="1:54">
      <c r="A23" s="38" t="s">
        <v>20</v>
      </c>
      <c r="B23" s="38"/>
    </row>
    <row r="24" spans="1:54" ht="15.75" thickBot="1">
      <c r="A24" s="97" t="s">
        <v>259</v>
      </c>
    </row>
    <row r="25" spans="1:54">
      <c r="A25" s="107" t="s">
        <v>222</v>
      </c>
      <c r="B25" s="108" t="s">
        <v>260</v>
      </c>
      <c r="C25" s="108" t="s">
        <v>261</v>
      </c>
      <c r="D25" s="114" t="s">
        <v>262</v>
      </c>
      <c r="G25" s="10" t="s">
        <v>221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c r="A26" s="6">
        <f>'Project Information'!$B$8</f>
        <v>2032</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f>IF(A26&lt;'Project Information'!B$10,A26+1,"")</f>
        <v>2033</v>
      </c>
      <c r="B27" s="22">
        <v>0</v>
      </c>
      <c r="C27" s="22">
        <v>0</v>
      </c>
      <c r="D27" s="8">
        <f t="shared" ref="D27:D55" si="0">B27-C27</f>
        <v>0</v>
      </c>
      <c r="G27" s="13" t="s">
        <v>555</v>
      </c>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Information'!B$10,A27+1,"")</f>
        <v>2034</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Information'!B$10,A28+1,"")</f>
        <v>2035</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Information'!B$10,A29+1,"")</f>
        <v>2036</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c r="A31" s="1">
        <f>IF(A30&lt;'Project Information'!B$10,A30+1,"")</f>
        <v>2037</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Information'!B$10,A31+1,"")</f>
        <v>2038</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f>IF(A32&lt;'Project Information'!B$10,A32+1,"")</f>
        <v>2039</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Information'!B$10,A33+1,"")</f>
        <v>2040</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Information'!B$10,A34+1,"")</f>
        <v>2041</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Information'!B$10,A35+1,"")</f>
        <v>2042</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Information'!B$10,A36+1,"")</f>
        <v>2043</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A38" s="1">
        <f>IF(A37&lt;'Project Information'!B$10,A37+1,"")</f>
        <v>2044</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A39" s="1">
        <f>IF(A38&lt;'Project Information'!B$10,A38+1,"")</f>
        <v>2045</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A40" s="1">
        <f>IF(A39&lt;'Project Information'!B$10,A39+1,"")</f>
        <v>2046</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A41" s="1">
        <f>IF(A40&lt;'Project Information'!B$10,A40+1,"")</f>
        <v>2047</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A42" s="1">
        <f>IF(A41&lt;'Project Information'!B$10,A41+1,"")</f>
        <v>2048</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f>IF(A42&lt;'Project Information'!B$10,A42+1,"")</f>
        <v>2049</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f>IF(A43&lt;'Project Information'!B$10,A43+1,"")</f>
        <v>2050</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A45" s="1">
        <f>IF(A44&lt;'Project Information'!B$10,A44+1,"")</f>
        <v>2051</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A46" s="1" t="str">
        <f>IF(A45&lt;'Project Information'!B$10,A45+1,"")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A47" s="1" t="str">
        <f>IF(A46&lt;'Project Information'!B$10,A46+1,"")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A48" s="1" t="str">
        <f>IF(A47&lt;'Project Information'!B$10,A47+1,"")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c r="A49" s="1" t="str">
        <f>IF(A48&lt;'Project Information'!B$10,A48+1,"")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c r="A50" s="1" t="str">
        <f>IF(A49&lt;'Project Information'!B$10,A49+1,"")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c r="A51" s="1" t="str">
        <f>IF(A50&lt;'Project Information'!B$10,A50+1,"")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A52" s="1" t="str">
        <f>IF(A51&lt;'Project Information'!B$10,A51+1,"")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A53" s="1" t="str">
        <f>IF(A52&lt;'Project Information'!B$10,A52+1,"")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A54" s="1" t="str">
        <f>IF(A53&lt;'Project Information'!B$10,A53+1,"")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A55" s="1" t="str">
        <f>IF(A54&lt;'Project Information'!B$10,A54+1,"")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75" thickBot="1">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08"/>
  <sheetViews>
    <sheetView topLeftCell="T8" workbookViewId="0">
      <selection activeCell="T29" sqref="T29:T48"/>
    </sheetView>
  </sheetViews>
  <sheetFormatPr defaultColWidth="9.140625" defaultRowHeight="1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16384" width="9.140625" style="5"/>
  </cols>
  <sheetData>
    <row r="1" spans="1:7" ht="20.25" thickBot="1">
      <c r="A1" s="96" t="s">
        <v>263</v>
      </c>
      <c r="B1" s="133"/>
      <c r="C1" s="133"/>
      <c r="D1" s="133"/>
      <c r="E1" s="133"/>
      <c r="F1" s="133"/>
    </row>
    <row r="2" spans="1:7" ht="15.75" thickTop="1">
      <c r="A2" s="5" t="s">
        <v>20</v>
      </c>
    </row>
    <row r="3" spans="1:7">
      <c r="A3" s="97" t="s">
        <v>264</v>
      </c>
      <c r="E3" s="5" t="s">
        <v>571</v>
      </c>
      <c r="F3" s="5">
        <v>0.28999999999999998</v>
      </c>
    </row>
    <row r="4" spans="1:7" ht="30">
      <c r="A4" s="116" t="s">
        <v>196</v>
      </c>
      <c r="B4" s="116" t="s">
        <v>75</v>
      </c>
      <c r="C4" s="116" t="s">
        <v>75</v>
      </c>
      <c r="E4" s="225" t="s">
        <v>556</v>
      </c>
      <c r="F4" s="183" t="s">
        <v>557</v>
      </c>
      <c r="G4" s="183"/>
    </row>
    <row r="5" spans="1:7" ht="18">
      <c r="A5" s="139"/>
      <c r="B5" s="131" t="s">
        <v>265</v>
      </c>
      <c r="C5" s="131" t="s">
        <v>266</v>
      </c>
      <c r="E5" s="183" t="s">
        <v>558</v>
      </c>
      <c r="F5" s="183">
        <v>400</v>
      </c>
      <c r="G5" s="183"/>
    </row>
    <row r="6" spans="1:7">
      <c r="A6" s="35" t="s">
        <v>203</v>
      </c>
      <c r="B6" s="173" t="s">
        <v>94</v>
      </c>
      <c r="C6" s="140">
        <f>'Parameter Values'!F231</f>
        <v>0.11</v>
      </c>
      <c r="E6" s="183" t="s">
        <v>559</v>
      </c>
      <c r="F6" s="183">
        <v>0.69299999999999995</v>
      </c>
      <c r="G6" s="183"/>
    </row>
    <row r="7" spans="1:7">
      <c r="A7" s="35" t="s">
        <v>204</v>
      </c>
      <c r="B7" s="173" t="s">
        <v>94</v>
      </c>
      <c r="C7" s="140">
        <f>'Parameter Values'!F232</f>
        <v>0.113</v>
      </c>
      <c r="E7" s="183" t="s">
        <v>560</v>
      </c>
      <c r="F7" s="183">
        <v>4.1000000000000003E-3</v>
      </c>
      <c r="G7" s="183"/>
    </row>
    <row r="8" spans="1:7">
      <c r="A8" s="35" t="s">
        <v>205</v>
      </c>
      <c r="B8" s="140">
        <f>'Parameter Values'!E233</f>
        <v>1.2999999999999999E-2</v>
      </c>
      <c r="C8" s="140">
        <f>'Parameter Values'!F233</f>
        <v>0.111</v>
      </c>
      <c r="E8" s="183" t="s">
        <v>561</v>
      </c>
      <c r="F8" s="183">
        <v>1.8272016545843679E-3</v>
      </c>
      <c r="G8" s="183"/>
    </row>
    <row r="9" spans="1:7">
      <c r="A9" s="35" t="s">
        <v>206</v>
      </c>
      <c r="B9" s="173" t="s">
        <v>94</v>
      </c>
      <c r="C9" s="140">
        <f>'Parameter Values'!F234</f>
        <v>0.314</v>
      </c>
      <c r="E9" s="183"/>
      <c r="F9" s="183"/>
      <c r="G9" s="183"/>
    </row>
    <row r="10" spans="1:7">
      <c r="A10" s="35" t="s">
        <v>207</v>
      </c>
      <c r="B10" s="173" t="s">
        <v>94</v>
      </c>
      <c r="C10" s="140">
        <f>'Parameter Values'!F235</f>
        <v>0.31</v>
      </c>
      <c r="E10" s="183" t="s">
        <v>564</v>
      </c>
      <c r="F10" s="183"/>
      <c r="G10" s="183"/>
    </row>
    <row r="11" spans="1:7">
      <c r="A11" s="35" t="s">
        <v>208</v>
      </c>
      <c r="B11" s="140">
        <f>'Parameter Values'!E236</f>
        <v>3.6999999999999998E-2</v>
      </c>
      <c r="C11" s="140">
        <f>'Parameter Values'!F236</f>
        <v>0.312</v>
      </c>
      <c r="E11" s="183" t="s">
        <v>562</v>
      </c>
      <c r="F11" s="183"/>
      <c r="G11" s="183"/>
    </row>
    <row r="12" spans="1:7">
      <c r="A12" s="35" t="s">
        <v>209</v>
      </c>
      <c r="B12" s="173" t="s">
        <v>94</v>
      </c>
      <c r="C12" s="140">
        <f>'Parameter Values'!F237</f>
        <v>0.128</v>
      </c>
      <c r="E12" s="183" t="s">
        <v>563</v>
      </c>
      <c r="F12" s="183"/>
      <c r="G12" s="183"/>
    </row>
    <row r="13" spans="1:7">
      <c r="A13" s="35" t="s">
        <v>210</v>
      </c>
      <c r="B13" s="173" t="s">
        <v>94</v>
      </c>
      <c r="C13" s="397">
        <f>'Parameter Values'!F238</f>
        <v>0.14499999999999999</v>
      </c>
    </row>
    <row r="14" spans="1:7">
      <c r="A14" s="35" t="s">
        <v>211</v>
      </c>
      <c r="B14" s="305">
        <f>'Parameter Values'!E239</f>
        <v>1.4999999999999999E-2</v>
      </c>
      <c r="C14" s="305">
        <f>'Parameter Values'!F239</f>
        <v>0.13300000000000001</v>
      </c>
    </row>
    <row r="15" spans="1:7" ht="30">
      <c r="A15" s="116" t="s">
        <v>82</v>
      </c>
      <c r="B15" s="116" t="s">
        <v>81</v>
      </c>
      <c r="C15" s="116" t="s">
        <v>81</v>
      </c>
    </row>
    <row r="16" spans="1:7" ht="18">
      <c r="A16" s="130" t="s">
        <v>86</v>
      </c>
      <c r="B16" s="131" t="s">
        <v>265</v>
      </c>
      <c r="C16" s="131" t="s">
        <v>266</v>
      </c>
    </row>
    <row r="17" spans="1:74">
      <c r="A17" s="35" t="s">
        <v>87</v>
      </c>
      <c r="B17" s="132">
        <f>'Parameter Values'!C63</f>
        <v>776</v>
      </c>
      <c r="C17" s="132">
        <f>'Parameter Values'!D63</f>
        <v>29</v>
      </c>
    </row>
    <row r="18" spans="1:74">
      <c r="A18" s="35" t="s">
        <v>88</v>
      </c>
      <c r="B18" s="132">
        <f>'Parameter Values'!C64</f>
        <v>106</v>
      </c>
      <c r="C18" s="132">
        <f>'Parameter Values'!D64</f>
        <v>27</v>
      </c>
    </row>
    <row r="19" spans="1:74">
      <c r="A19" s="35" t="s">
        <v>89</v>
      </c>
      <c r="B19" s="132">
        <f>'Parameter Values'!C65</f>
        <v>106</v>
      </c>
      <c r="C19" s="132">
        <f>'Parameter Values'!D65</f>
        <v>27</v>
      </c>
    </row>
    <row r="20" spans="1:74">
      <c r="A20" s="35" t="s">
        <v>90</v>
      </c>
      <c r="B20" s="132">
        <f>'Parameter Values'!C66</f>
        <v>106</v>
      </c>
      <c r="C20" s="132">
        <f>'Parameter Values'!D66</f>
        <v>27</v>
      </c>
    </row>
    <row r="21" spans="1:74" ht="18">
      <c r="A21" s="130" t="s">
        <v>91</v>
      </c>
      <c r="B21" s="131" t="s">
        <v>265</v>
      </c>
      <c r="C21" s="131" t="s">
        <v>266</v>
      </c>
    </row>
    <row r="22" spans="1:74">
      <c r="A22" s="35" t="s">
        <v>87</v>
      </c>
      <c r="B22" s="132">
        <f>'Parameter Values'!C68</f>
        <v>2284</v>
      </c>
      <c r="C22" s="132">
        <f>'Parameter Values'!D68</f>
        <v>290</v>
      </c>
    </row>
    <row r="23" spans="1:74">
      <c r="A23" s="35" t="s">
        <v>88</v>
      </c>
      <c r="B23" s="132">
        <f>'Parameter Values'!C69</f>
        <v>755</v>
      </c>
      <c r="C23" s="132">
        <f>'Parameter Values'!D69</f>
        <v>226</v>
      </c>
    </row>
    <row r="24" spans="1:74">
      <c r="A24" s="35" t="s">
        <v>89</v>
      </c>
      <c r="B24" s="132">
        <f>'Parameter Values'!C70</f>
        <v>755</v>
      </c>
      <c r="C24" s="132">
        <f>'Parameter Values'!D70</f>
        <v>226</v>
      </c>
    </row>
    <row r="25" spans="1:74">
      <c r="A25" s="35" t="s">
        <v>90</v>
      </c>
      <c r="B25" s="132">
        <f>'Parameter Values'!C71</f>
        <v>755</v>
      </c>
      <c r="C25" s="132">
        <f>'Parameter Values'!D71</f>
        <v>226</v>
      </c>
    </row>
    <row r="26" spans="1:74">
      <c r="A26" s="5" t="s">
        <v>20</v>
      </c>
    </row>
    <row r="27" spans="1:74" ht="15.75" thickBot="1">
      <c r="A27" s="97" t="s">
        <v>267</v>
      </c>
      <c r="B27" s="134"/>
      <c r="C27" s="134"/>
      <c r="D27" s="134"/>
      <c r="E27" s="134"/>
      <c r="F27" s="134"/>
    </row>
    <row r="28" spans="1:74" ht="18">
      <c r="A28" s="107" t="s">
        <v>222</v>
      </c>
      <c r="B28" s="110" t="s">
        <v>268</v>
      </c>
      <c r="C28" s="110" t="s">
        <v>269</v>
      </c>
      <c r="D28" s="110" t="s">
        <v>270</v>
      </c>
      <c r="E28" s="110" t="s">
        <v>271</v>
      </c>
      <c r="F28" s="110"/>
      <c r="G28" s="110" t="s">
        <v>272</v>
      </c>
      <c r="H28" s="108" t="s">
        <v>273</v>
      </c>
      <c r="I28" s="110" t="s">
        <v>274</v>
      </c>
      <c r="J28" s="108" t="s">
        <v>275</v>
      </c>
      <c r="K28" s="110" t="s">
        <v>276</v>
      </c>
      <c r="L28" s="108" t="s">
        <v>277</v>
      </c>
      <c r="M28" s="110" t="s">
        <v>278</v>
      </c>
      <c r="N28" s="108" t="s">
        <v>279</v>
      </c>
      <c r="O28" s="111" t="s">
        <v>280</v>
      </c>
      <c r="P28" s="112" t="s">
        <v>281</v>
      </c>
      <c r="Q28" s="112" t="s">
        <v>282</v>
      </c>
      <c r="R28" s="112" t="s">
        <v>283</v>
      </c>
      <c r="S28" s="113" t="s">
        <v>284</v>
      </c>
      <c r="T28" s="108" t="s">
        <v>285</v>
      </c>
      <c r="AA28" s="10" t="s">
        <v>221</v>
      </c>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2"/>
    </row>
    <row r="29" spans="1:74">
      <c r="A29" s="6">
        <f>'Project Information'!$B$8</f>
        <v>2032</v>
      </c>
      <c r="B29" s="135">
        <f>'User Volumes'!$B6*$B$14*$F$3</f>
        <v>53994.685714285712</v>
      </c>
      <c r="C29" s="135">
        <f>'User Volumes'!$C6*$B$14*$F$3</f>
        <v>53966.119971772627</v>
      </c>
      <c r="D29" s="135">
        <f>'User Volumes'!$B6*$C$14*$F$3</f>
        <v>478752.88000000006</v>
      </c>
      <c r="E29" s="135">
        <f>'User Volumes'!C6*$C$14*$F$3</f>
        <v>478499.5970830507</v>
      </c>
      <c r="F29" s="6"/>
      <c r="G29" s="27">
        <v>0</v>
      </c>
      <c r="H29" s="27">
        <v>0</v>
      </c>
      <c r="I29" s="27">
        <v>0</v>
      </c>
      <c r="J29" s="27">
        <v>0</v>
      </c>
      <c r="K29" s="27">
        <v>0</v>
      </c>
      <c r="L29" s="27">
        <v>0</v>
      </c>
      <c r="M29" s="27">
        <v>0</v>
      </c>
      <c r="N29" s="27">
        <v>0</v>
      </c>
      <c r="O29" s="19">
        <f>IFERROR(VLOOKUP($A29,'Parameter Values'!$A$78:$E$107,2,FALSE),'Parameter Values'!B$107)</f>
        <v>22900</v>
      </c>
      <c r="P29" s="19">
        <f>IFERROR(VLOOKUP($A29,'Parameter Values'!$A$78:$E$107,3,FALSE),'Parameter Values'!C$107)</f>
        <v>63700</v>
      </c>
      <c r="Q29" s="19">
        <f>IFERROR(VLOOKUP($A29,'Parameter Values'!$A$78:$E$107,4,FALSE),'Parameter Values'!D$107)</f>
        <v>1108000</v>
      </c>
      <c r="R29" s="19">
        <f>IFERROR(VLOOKUP($A29,'Parameter Values'!$A$78:$E$107,5,FALSE),'Parameter Values'!E$107)</f>
        <v>275</v>
      </c>
      <c r="S29" s="19">
        <f>(B29-C29)+((G29-H29)*O29)+((I29-J29)*P29)+((K29-L29)*Q29)</f>
        <v>28.565742513084842</v>
      </c>
      <c r="T29" s="18">
        <f>(D29-E29)+((M29-N29)*R29)</f>
        <v>253.28291694936343</v>
      </c>
      <c r="AA29" s="13"/>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s="14"/>
    </row>
    <row r="30" spans="1:74">
      <c r="A30" s="1">
        <f>IF(A29&lt;'Project Information'!B$10,A29+1,"")</f>
        <v>2033</v>
      </c>
      <c r="B30" s="135">
        <f>'User Volumes'!$B7*$B$14*$F$3</f>
        <v>53995.928571428572</v>
      </c>
      <c r="C30" s="135">
        <f>'User Volumes'!$C7*$B$14*$F$3</f>
        <v>53965.574452560417</v>
      </c>
      <c r="D30" s="135">
        <f>'User Volumes'!$B7*$C$14*$F$3</f>
        <v>478763.9</v>
      </c>
      <c r="E30" s="135">
        <f>'User Volumes'!C7*$C$14*$F$3</f>
        <v>478494.76014603575</v>
      </c>
      <c r="F30" s="1"/>
      <c r="G30" s="27">
        <v>0</v>
      </c>
      <c r="H30" s="27">
        <v>0</v>
      </c>
      <c r="I30" s="27">
        <v>0</v>
      </c>
      <c r="J30" s="27">
        <v>0</v>
      </c>
      <c r="K30" s="27">
        <v>0</v>
      </c>
      <c r="L30" s="27">
        <v>0</v>
      </c>
      <c r="M30" s="135">
        <v>0</v>
      </c>
      <c r="N30" s="27">
        <v>0</v>
      </c>
      <c r="O30" s="19">
        <f>IFERROR(VLOOKUP($A30,'Parameter Values'!$A$78:$E$107,2,FALSE),'Parameter Values'!B$107)</f>
        <v>22900</v>
      </c>
      <c r="P30" s="19">
        <f>IFERROR(VLOOKUP($A30,'Parameter Values'!$A$78:$E$107,3,FALSE),'Parameter Values'!C$107)</f>
        <v>63700</v>
      </c>
      <c r="Q30" s="19">
        <f>IFERROR(VLOOKUP($A30,'Parameter Values'!$A$78:$E$107,4,FALSE),'Parameter Values'!D$107)</f>
        <v>1108000</v>
      </c>
      <c r="R30" s="19">
        <f>IFERROR(VLOOKUP($A30,'Parameter Values'!$A$78:$E$107,5,FALSE),'Parameter Values'!E$107)</f>
        <v>280</v>
      </c>
      <c r="S30" s="19">
        <f t="shared" ref="S30:S58" si="0">(B30-C30)+((G30-H30)*O30)+((I30-J30)*P30)+((K30-L30)*Q30)</f>
        <v>30.354118868155638</v>
      </c>
      <c r="T30" s="18">
        <f t="shared" ref="T30:T58" si="1">(D30-E30)+((M30-N30)*R30)</f>
        <v>269.1398539642687</v>
      </c>
      <c r="AA30" s="13"/>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s="14"/>
    </row>
    <row r="31" spans="1:74">
      <c r="A31" s="1">
        <f>IF(A30&lt;'Project Information'!B$10,A30+1,"")</f>
        <v>2034</v>
      </c>
      <c r="B31" s="135">
        <f>'User Volumes'!$B8*$B$14*$F$3</f>
        <v>53997.171428571419</v>
      </c>
      <c r="C31" s="135">
        <f>'User Volumes'!$C8*$B$14*$F$3</f>
        <v>53964.844731599078</v>
      </c>
      <c r="D31" s="135">
        <f>'User Volumes'!$B8*$C$14*$F$3</f>
        <v>478774.92</v>
      </c>
      <c r="E31" s="135">
        <f>'User Volumes'!C8*$C$14*$F$3</f>
        <v>478488.28995351191</v>
      </c>
      <c r="F31" s="1"/>
      <c r="G31" s="27">
        <v>0</v>
      </c>
      <c r="H31" s="27">
        <v>0</v>
      </c>
      <c r="I31" s="27">
        <v>0</v>
      </c>
      <c r="J31" s="27">
        <v>0</v>
      </c>
      <c r="K31" s="27">
        <v>0</v>
      </c>
      <c r="L31" s="27">
        <v>0</v>
      </c>
      <c r="M31" s="27">
        <v>0</v>
      </c>
      <c r="N31" s="27">
        <v>0</v>
      </c>
      <c r="O31" s="19">
        <f>IFERROR(VLOOKUP($A31,'Parameter Values'!$A$78:$E$107,2,FALSE),'Parameter Values'!B$107)</f>
        <v>22900</v>
      </c>
      <c r="P31" s="19">
        <f>IFERROR(VLOOKUP($A31,'Parameter Values'!$A$78:$E$107,3,FALSE),'Parameter Values'!C$107)</f>
        <v>63700</v>
      </c>
      <c r="Q31" s="19">
        <f>IFERROR(VLOOKUP($A31,'Parameter Values'!$A$78:$E$107,4,FALSE),'Parameter Values'!D$107)</f>
        <v>1108000</v>
      </c>
      <c r="R31" s="19">
        <f>IFERROR(VLOOKUP($A31,'Parameter Values'!$A$78:$E$107,5,FALSE),'Parameter Values'!E$107)</f>
        <v>284</v>
      </c>
      <c r="S31" s="19">
        <f t="shared" si="0"/>
        <v>32.326696972340869</v>
      </c>
      <c r="T31" s="18">
        <f t="shared" si="1"/>
        <v>286.63004648807691</v>
      </c>
      <c r="AA31" s="13"/>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s="14"/>
    </row>
    <row r="32" spans="1:74">
      <c r="A32" s="1">
        <f>IF(A31&lt;'Project Information'!B$10,A31+1,"")</f>
        <v>2035</v>
      </c>
      <c r="B32" s="135">
        <f>'User Volumes'!$B9*$B$14*$F$3</f>
        <v>53998.414285714272</v>
      </c>
      <c r="C32" s="135">
        <f>'User Volumes'!$C9*$B$14*$F$3</f>
        <v>53963.898989353293</v>
      </c>
      <c r="D32" s="135">
        <f>'User Volumes'!$B9*$C$14*$F$3</f>
        <v>478785.93999999994</v>
      </c>
      <c r="E32" s="135">
        <f>'User Volumes'!C9*$C$14*$F$3</f>
        <v>478479.90437226591</v>
      </c>
      <c r="F32" s="1"/>
      <c r="G32" s="27">
        <v>0</v>
      </c>
      <c r="H32" s="27">
        <v>0</v>
      </c>
      <c r="I32" s="27">
        <v>0</v>
      </c>
      <c r="J32" s="27">
        <v>0</v>
      </c>
      <c r="K32" s="27">
        <v>0</v>
      </c>
      <c r="L32" s="27">
        <v>0</v>
      </c>
      <c r="M32" s="27">
        <v>0</v>
      </c>
      <c r="N32" s="27">
        <v>0</v>
      </c>
      <c r="O32" s="19">
        <f>IFERROR(VLOOKUP($A32,'Parameter Values'!$A$78:$E$107,2,FALSE),'Parameter Values'!B$107)</f>
        <v>22900</v>
      </c>
      <c r="P32" s="19">
        <f>IFERROR(VLOOKUP($A32,'Parameter Values'!$A$78:$E$107,3,FALSE),'Parameter Values'!C$107)</f>
        <v>63700</v>
      </c>
      <c r="Q32" s="19">
        <f>IFERROR(VLOOKUP($A32,'Parameter Values'!$A$78:$E$107,4,FALSE),'Parameter Values'!D$107)</f>
        <v>1108000</v>
      </c>
      <c r="R32" s="19">
        <f>IFERROR(VLOOKUP($A32,'Parameter Values'!$A$78:$E$107,5,FALSE),'Parameter Values'!E$107)</f>
        <v>288</v>
      </c>
      <c r="S32" s="19">
        <f t="shared" si="0"/>
        <v>34.515296360979846</v>
      </c>
      <c r="T32" s="18">
        <f t="shared" si="1"/>
        <v>306.03562773403246</v>
      </c>
      <c r="AA32" s="13"/>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s="14"/>
    </row>
    <row r="33" spans="1:74">
      <c r="A33" s="1">
        <f>IF(A32&lt;'Project Information'!B$10,A32+1,"")</f>
        <v>2036</v>
      </c>
      <c r="B33" s="135">
        <f>'User Volumes'!$B10*$B$14*$F$3</f>
        <v>53999.657142857133</v>
      </c>
      <c r="C33" s="135">
        <f>'User Volumes'!$C10*$B$14*$F$3</f>
        <v>53962.697470839594</v>
      </c>
      <c r="D33" s="135">
        <f>'User Volumes'!$B10*$C$14*$F$3</f>
        <v>478796.95999999996</v>
      </c>
      <c r="E33" s="135">
        <f>'User Volumes'!C10*$C$14*$F$3</f>
        <v>478469.25090811111</v>
      </c>
      <c r="F33" s="1"/>
      <c r="G33" s="27">
        <v>0</v>
      </c>
      <c r="H33" s="27">
        <v>0</v>
      </c>
      <c r="I33" s="27">
        <v>0</v>
      </c>
      <c r="J33" s="27">
        <v>0</v>
      </c>
      <c r="K33" s="27">
        <v>0</v>
      </c>
      <c r="L33" s="27">
        <v>0</v>
      </c>
      <c r="M33" s="27">
        <v>0</v>
      </c>
      <c r="N33" s="27">
        <v>0</v>
      </c>
      <c r="O33" s="19">
        <f>IFERROR(VLOOKUP($A33,'Parameter Values'!$A$78:$E$107,2,FALSE),'Parameter Values'!B$107)</f>
        <v>22900</v>
      </c>
      <c r="P33" s="19">
        <f>IFERROR(VLOOKUP($A33,'Parameter Values'!$A$78:$E$107,3,FALSE),'Parameter Values'!C$107)</f>
        <v>63700</v>
      </c>
      <c r="Q33" s="19">
        <f>IFERROR(VLOOKUP($A33,'Parameter Values'!$A$78:$E$107,4,FALSE),'Parameter Values'!D$107)</f>
        <v>1108000</v>
      </c>
      <c r="R33" s="19">
        <f>IFERROR(VLOOKUP($A33,'Parameter Values'!$A$78:$E$107,5,FALSE),'Parameter Values'!E$107)</f>
        <v>292</v>
      </c>
      <c r="S33" s="19">
        <f t="shared" si="0"/>
        <v>36.95967201753956</v>
      </c>
      <c r="T33" s="18">
        <f t="shared" si="1"/>
        <v>327.70909188885707</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c r="A34" s="1">
        <f>IF(A33&lt;'Project Information'!B$10,A33+1,"")</f>
        <v>2037</v>
      </c>
      <c r="B34" s="135">
        <f>'User Volumes'!$B11*$B$14*$F$3</f>
        <v>54000.899999999994</v>
      </c>
      <c r="C34" s="135">
        <f>'User Volumes'!$C11*$B$14*$F$3</f>
        <v>53961.189840929241</v>
      </c>
      <c r="D34" s="135">
        <f>'User Volumes'!$B11*$C$14*$F$3</f>
        <v>478807.98</v>
      </c>
      <c r="E34" s="135">
        <f>'User Volumes'!C11*$C$14*$F$3</f>
        <v>478455.88325623923</v>
      </c>
      <c r="F34" s="1"/>
      <c r="G34" s="27">
        <v>0</v>
      </c>
      <c r="H34" s="27">
        <v>0</v>
      </c>
      <c r="I34" s="27">
        <v>0</v>
      </c>
      <c r="J34" s="27">
        <v>0</v>
      </c>
      <c r="K34" s="27">
        <v>0</v>
      </c>
      <c r="L34" s="27">
        <v>0</v>
      </c>
      <c r="M34" s="27">
        <v>0</v>
      </c>
      <c r="N34" s="27">
        <v>0</v>
      </c>
      <c r="O34" s="19">
        <f>IFERROR(VLOOKUP($A34,'Parameter Values'!$A$78:$E$107,2,FALSE),'Parameter Values'!B$107)</f>
        <v>22900</v>
      </c>
      <c r="P34" s="19">
        <f>IFERROR(VLOOKUP($A34,'Parameter Values'!$A$78:$E$107,3,FALSE),'Parameter Values'!C$107)</f>
        <v>63700</v>
      </c>
      <c r="Q34" s="19">
        <f>IFERROR(VLOOKUP($A34,'Parameter Values'!$A$78:$E$107,4,FALSE),'Parameter Values'!D$107)</f>
        <v>1108000</v>
      </c>
      <c r="R34" s="19">
        <f>IFERROR(VLOOKUP($A34,'Parameter Values'!$A$78:$E$107,5,FALSE),'Parameter Values'!E$107)</f>
        <v>297</v>
      </c>
      <c r="S34" s="19">
        <f t="shared" si="0"/>
        <v>39.710159070753434</v>
      </c>
      <c r="T34" s="18">
        <f t="shared" si="1"/>
        <v>352.0967437607469</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c r="A35" s="1">
        <f>IF(A34&lt;'Project Information'!B$10,A34+1,"")</f>
        <v>2038</v>
      </c>
      <c r="B35" s="135">
        <f>'User Volumes'!$B12*$B$14*$F$3</f>
        <v>54002.142857142855</v>
      </c>
      <c r="C35" s="135">
        <f>'User Volumes'!$C12*$B$14*$F$3</f>
        <v>53959.311406218811</v>
      </c>
      <c r="D35" s="135">
        <f>'User Volumes'!$B12*$C$14*$F$3</f>
        <v>478819.00000000006</v>
      </c>
      <c r="E35" s="135">
        <f>'User Volumes'!C12*$C$14*$F$3</f>
        <v>478439.22780180688</v>
      </c>
      <c r="F35" s="1"/>
      <c r="G35" s="27">
        <v>0</v>
      </c>
      <c r="H35" s="27">
        <v>0</v>
      </c>
      <c r="I35" s="27">
        <v>0</v>
      </c>
      <c r="J35" s="27">
        <v>0</v>
      </c>
      <c r="K35" s="27">
        <v>0</v>
      </c>
      <c r="L35" s="27">
        <v>0</v>
      </c>
      <c r="M35" s="27">
        <v>0</v>
      </c>
      <c r="N35" s="27">
        <v>0</v>
      </c>
      <c r="O35" s="19">
        <f>IFERROR(VLOOKUP($A35,'Parameter Values'!$A$78:$E$107,2,FALSE),'Parameter Values'!B$107)</f>
        <v>22900</v>
      </c>
      <c r="P35" s="19">
        <f>IFERROR(VLOOKUP($A35,'Parameter Values'!$A$78:$E$107,3,FALSE),'Parameter Values'!C$107)</f>
        <v>63700</v>
      </c>
      <c r="Q35" s="19">
        <f>IFERROR(VLOOKUP($A35,'Parameter Values'!$A$78:$E$107,4,FALSE),'Parameter Values'!D$107)</f>
        <v>1108000</v>
      </c>
      <c r="R35" s="19">
        <f>IFERROR(VLOOKUP($A35,'Parameter Values'!$A$78:$E$107,5,FALSE),'Parameter Values'!E$107)</f>
        <v>301</v>
      </c>
      <c r="S35" s="19">
        <f t="shared" si="0"/>
        <v>42.831450924044475</v>
      </c>
      <c r="T35" s="18">
        <f t="shared" si="1"/>
        <v>379.7721981931827</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c r="A36" s="1">
        <f>IF(A35&lt;'Project Information'!B$10,A35+1,"")</f>
        <v>2039</v>
      </c>
      <c r="B36" s="135">
        <f>'User Volumes'!$B13*$B$14*$F$3</f>
        <v>54003.385714285709</v>
      </c>
      <c r="C36" s="135">
        <f>'User Volumes'!$C13*$B$14*$F$3</f>
        <v>53956.977593159347</v>
      </c>
      <c r="D36" s="135">
        <f>'User Volumes'!$B13*$C$14*$F$3</f>
        <v>478830.02</v>
      </c>
      <c r="E36" s="135">
        <f>'User Volumes'!C13*$C$14*$F$3</f>
        <v>478418.53465934622</v>
      </c>
      <c r="F36" s="1"/>
      <c r="G36" s="27">
        <v>0</v>
      </c>
      <c r="H36" s="27">
        <v>0</v>
      </c>
      <c r="I36" s="27">
        <v>0</v>
      </c>
      <c r="J36" s="27">
        <v>0</v>
      </c>
      <c r="K36" s="27">
        <v>0</v>
      </c>
      <c r="L36" s="27">
        <v>0</v>
      </c>
      <c r="M36" s="27">
        <v>0</v>
      </c>
      <c r="N36" s="27">
        <v>0</v>
      </c>
      <c r="O36" s="19">
        <f>IFERROR(VLOOKUP($A36,'Parameter Values'!$A$78:$E$107,2,FALSE),'Parameter Values'!B$107)</f>
        <v>22900</v>
      </c>
      <c r="P36" s="19">
        <f>IFERROR(VLOOKUP($A36,'Parameter Values'!$A$78:$E$107,3,FALSE),'Parameter Values'!C$107)</f>
        <v>63700</v>
      </c>
      <c r="Q36" s="19">
        <f>IFERROR(VLOOKUP($A36,'Parameter Values'!$A$78:$E$107,4,FALSE),'Parameter Values'!D$107)</f>
        <v>1108000</v>
      </c>
      <c r="R36" s="19">
        <f>IFERROR(VLOOKUP($A36,'Parameter Values'!$A$78:$E$107,5,FALSE),'Parameter Values'!E$107)</f>
        <v>305</v>
      </c>
      <c r="S36" s="19">
        <f t="shared" si="0"/>
        <v>46.408121126361948</v>
      </c>
      <c r="T36" s="18">
        <f t="shared" si="1"/>
        <v>411.48534065380227</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c r="A37" s="1">
        <f>IF(A36&lt;'Project Information'!B$10,A36+1,"")</f>
        <v>2040</v>
      </c>
      <c r="B37" s="135">
        <f>'User Volumes'!$B14*$B$14*$F$3</f>
        <v>54004.62857142857</v>
      </c>
      <c r="C37" s="135">
        <f>'User Volumes'!$C14*$B$14*$F$3</f>
        <v>53954.075665261225</v>
      </c>
      <c r="D37" s="135">
        <f>'User Volumes'!$B14*$C$14*$F$3</f>
        <v>478841.04000000004</v>
      </c>
      <c r="E37" s="135">
        <f>'User Volumes'!C14*$C$14*$F$3</f>
        <v>478392.80423198297</v>
      </c>
      <c r="F37" s="1"/>
      <c r="G37" s="27">
        <v>0</v>
      </c>
      <c r="H37" s="27">
        <v>0</v>
      </c>
      <c r="I37" s="27">
        <v>0</v>
      </c>
      <c r="J37" s="27">
        <v>0</v>
      </c>
      <c r="K37" s="27">
        <v>0</v>
      </c>
      <c r="L37" s="27">
        <v>0</v>
      </c>
      <c r="M37" s="27">
        <v>0</v>
      </c>
      <c r="N37" s="27">
        <v>0</v>
      </c>
      <c r="O37" s="19">
        <f>IFERROR(VLOOKUP($A37,'Parameter Values'!$A$78:$E$107,2,FALSE),'Parameter Values'!B$107)</f>
        <v>22900</v>
      </c>
      <c r="P37" s="19">
        <f>IFERROR(VLOOKUP($A37,'Parameter Values'!$A$78:$E$107,3,FALSE),'Parameter Values'!C$107)</f>
        <v>63700</v>
      </c>
      <c r="Q37" s="19">
        <f>IFERROR(VLOOKUP($A37,'Parameter Values'!$A$78:$E$107,4,FALSE),'Parameter Values'!D$107)</f>
        <v>1108000</v>
      </c>
      <c r="R37" s="19">
        <f>IFERROR(VLOOKUP($A37,'Parameter Values'!$A$78:$E$107,5,FALSE),'Parameter Values'!E$107)</f>
        <v>310</v>
      </c>
      <c r="S37" s="19">
        <f t="shared" si="0"/>
        <v>50.55290616734419</v>
      </c>
      <c r="T37" s="18">
        <f t="shared" si="1"/>
        <v>448.23576801706804</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c r="A38" s="1">
        <f>IF(A37&lt;'Project Information'!B$10,A37+1,"")</f>
        <v>2041</v>
      </c>
      <c r="B38" s="135">
        <f>'User Volumes'!$B15*$B$14*$F$3</f>
        <v>54005.871428571423</v>
      </c>
      <c r="C38" s="135">
        <f>'User Volumes'!$C15*$B$14*$F$3</f>
        <v>53950.451922423861</v>
      </c>
      <c r="D38" s="135">
        <f>'User Volumes'!$B15*$C$14*$F$3</f>
        <v>478852.05999999994</v>
      </c>
      <c r="E38" s="135">
        <f>'User Volumes'!C15*$C$14*$F$3</f>
        <v>478360.67371215828</v>
      </c>
      <c r="F38" s="1"/>
      <c r="G38" s="27">
        <v>0</v>
      </c>
      <c r="H38" s="27">
        <v>0</v>
      </c>
      <c r="I38" s="27">
        <v>0</v>
      </c>
      <c r="J38" s="27">
        <v>0</v>
      </c>
      <c r="K38" s="27">
        <v>0</v>
      </c>
      <c r="L38" s="27">
        <v>0</v>
      </c>
      <c r="M38" s="27">
        <v>0</v>
      </c>
      <c r="N38" s="27">
        <v>0</v>
      </c>
      <c r="O38" s="19">
        <f>IFERROR(VLOOKUP($A38,'Parameter Values'!$A$78:$E$107,2,FALSE),'Parameter Values'!B$107)</f>
        <v>22900</v>
      </c>
      <c r="P38" s="19">
        <f>IFERROR(VLOOKUP($A38,'Parameter Values'!$A$78:$E$107,3,FALSE),'Parameter Values'!C$107)</f>
        <v>63700</v>
      </c>
      <c r="Q38" s="19">
        <f>IFERROR(VLOOKUP($A38,'Parameter Values'!$A$78:$E$107,4,FALSE),'Parameter Values'!D$107)</f>
        <v>1108000</v>
      </c>
      <c r="R38" s="19">
        <f>IFERROR(VLOOKUP($A38,'Parameter Values'!$A$78:$E$107,5,FALSE),'Parameter Values'!E$107)</f>
        <v>314</v>
      </c>
      <c r="S38" s="19">
        <f t="shared" si="0"/>
        <v>55.419506147562061</v>
      </c>
      <c r="T38" s="18">
        <f t="shared" si="1"/>
        <v>491.38628784165485</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c r="A39" s="1">
        <f>IF(A38&lt;'Project Information'!B$10,A38+1,"")</f>
        <v>2042</v>
      </c>
      <c r="B39" s="135">
        <f>'User Volumes'!$B16*$B$14*$F$3</f>
        <v>54007.114285714277</v>
      </c>
      <c r="C39" s="135">
        <f>'User Volumes'!$C16*$B$14*$F$3</f>
        <v>53945.891219877165</v>
      </c>
      <c r="D39" s="135">
        <f>'User Volumes'!$B16*$C$14*$F$3</f>
        <v>478863.07999999996</v>
      </c>
      <c r="E39" s="135">
        <f>'User Volumes'!C16*$C$14*$F$3</f>
        <v>478320.23548291088</v>
      </c>
      <c r="F39" s="1"/>
      <c r="G39" s="27">
        <v>0</v>
      </c>
      <c r="H39" s="27">
        <v>0</v>
      </c>
      <c r="I39" s="27">
        <v>0</v>
      </c>
      <c r="J39" s="27">
        <v>0</v>
      </c>
      <c r="K39" s="27">
        <v>0</v>
      </c>
      <c r="L39" s="27">
        <v>0</v>
      </c>
      <c r="M39" s="27">
        <v>0</v>
      </c>
      <c r="N39" s="27">
        <v>0</v>
      </c>
      <c r="O39" s="19">
        <f>IFERROR(VLOOKUP($A39,'Parameter Values'!$A$78:$E$107,2,FALSE),'Parameter Values'!B$107)</f>
        <v>22900</v>
      </c>
      <c r="P39" s="19">
        <f>IFERROR(VLOOKUP($A39,'Parameter Values'!$A$78:$E$107,3,FALSE),'Parameter Values'!C$107)</f>
        <v>63700</v>
      </c>
      <c r="Q39" s="19">
        <f>IFERROR(VLOOKUP($A39,'Parameter Values'!$A$78:$E$107,4,FALSE),'Parameter Values'!D$107)</f>
        <v>1108000</v>
      </c>
      <c r="R39" s="19">
        <f>IFERROR(VLOOKUP($A39,'Parameter Values'!$A$78:$E$107,5,FALSE),'Parameter Values'!E$107)</f>
        <v>319</v>
      </c>
      <c r="S39" s="19">
        <f t="shared" si="0"/>
        <v>61.22306583711179</v>
      </c>
      <c r="T39" s="18">
        <f t="shared" si="1"/>
        <v>542.84451708907727</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c r="A40" s="1">
        <f>IF(A39&lt;'Project Information'!B$10,A39+1,"")</f>
        <v>2043</v>
      </c>
      <c r="B40" s="135">
        <f>'User Volumes'!$B17*$B$14*$F$3</f>
        <v>54008.35714285713</v>
      </c>
      <c r="C40" s="135">
        <f>'User Volumes'!$C17*$B$14*$F$3</f>
        <v>53940.082833100183</v>
      </c>
      <c r="D40" s="135">
        <f>'User Volumes'!$B17*$C$14*$F$3</f>
        <v>478874.1</v>
      </c>
      <c r="E40" s="135">
        <f>'User Volumes'!C17*$C$14*$F$3</f>
        <v>478268.73445348832</v>
      </c>
      <c r="F40" s="1"/>
      <c r="G40" s="27">
        <v>0</v>
      </c>
      <c r="H40" s="27">
        <v>0</v>
      </c>
      <c r="I40" s="27">
        <v>0</v>
      </c>
      <c r="J40" s="27">
        <v>0</v>
      </c>
      <c r="K40" s="27">
        <v>0</v>
      </c>
      <c r="L40" s="27">
        <v>0</v>
      </c>
      <c r="M40" s="27">
        <v>0</v>
      </c>
      <c r="N40" s="27">
        <v>0</v>
      </c>
      <c r="O40" s="19">
        <f>IFERROR(VLOOKUP($A40,'Parameter Values'!$A$78:$E$107,2,FALSE),'Parameter Values'!B$107)</f>
        <v>22900</v>
      </c>
      <c r="P40" s="19">
        <f>IFERROR(VLOOKUP($A40,'Parameter Values'!$A$78:$E$107,3,FALSE),'Parameter Values'!C$107)</f>
        <v>63700</v>
      </c>
      <c r="Q40" s="19">
        <f>IFERROR(VLOOKUP($A40,'Parameter Values'!$A$78:$E$107,4,FALSE),'Parameter Values'!D$107)</f>
        <v>1108000</v>
      </c>
      <c r="R40" s="19">
        <f>IFERROR(VLOOKUP($A40,'Parameter Values'!$A$78:$E$107,5,FALSE),'Parameter Values'!E$107)</f>
        <v>324</v>
      </c>
      <c r="S40" s="19">
        <f t="shared" si="0"/>
        <v>68.274309756947332</v>
      </c>
      <c r="T40" s="18">
        <f t="shared" si="1"/>
        <v>605.3655465116608</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c r="A41" s="1">
        <f>IF(A40&lt;'Project Information'!B$10,A40+1,"")</f>
        <v>2044</v>
      </c>
      <c r="B41" s="135">
        <f>'User Volumes'!$B18*$B$14*$F$3</f>
        <v>54009.599999999999</v>
      </c>
      <c r="C41" s="135">
        <f>'User Volumes'!$C18*$B$14*$F$3</f>
        <v>53932.560721447291</v>
      </c>
      <c r="D41" s="135">
        <f>'User Volumes'!$B18*$C$14*$F$3</f>
        <v>478885.12</v>
      </c>
      <c r="E41" s="135">
        <f>'User Volumes'!C18*$C$14*$F$3</f>
        <v>478202.03839683265</v>
      </c>
      <c r="F41" s="1"/>
      <c r="G41" s="27">
        <v>0</v>
      </c>
      <c r="H41" s="27">
        <v>0</v>
      </c>
      <c r="I41" s="27">
        <v>0</v>
      </c>
      <c r="J41" s="27">
        <v>0</v>
      </c>
      <c r="K41" s="27">
        <v>0</v>
      </c>
      <c r="L41" s="27">
        <v>0</v>
      </c>
      <c r="M41" s="27">
        <v>0</v>
      </c>
      <c r="N41" s="27">
        <v>0</v>
      </c>
      <c r="O41" s="19">
        <f>IFERROR(VLOOKUP($A41,'Parameter Values'!$A$78:$E$107,2,FALSE),'Parameter Values'!B$107)</f>
        <v>22900</v>
      </c>
      <c r="P41" s="19">
        <f>IFERROR(VLOOKUP($A41,'Parameter Values'!$A$78:$E$107,3,FALSE),'Parameter Values'!C$107)</f>
        <v>63700</v>
      </c>
      <c r="Q41" s="19">
        <f>IFERROR(VLOOKUP($A41,'Parameter Values'!$A$78:$E$107,4,FALSE),'Parameter Values'!D$107)</f>
        <v>1108000</v>
      </c>
      <c r="R41" s="19">
        <f>IFERROR(VLOOKUP($A41,'Parameter Values'!$A$78:$E$107,5,FALSE),'Parameter Values'!E$107)</f>
        <v>328</v>
      </c>
      <c r="S41" s="19">
        <f t="shared" si="0"/>
        <v>77.039278552707401</v>
      </c>
      <c r="T41" s="18">
        <f t="shared" si="1"/>
        <v>683.08160316734575</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c r="A42" s="1">
        <f>IF(A41&lt;'Project Information'!B$10,A41+1,"")</f>
        <v>2045</v>
      </c>
      <c r="B42" s="135">
        <f>'User Volumes'!$B19*$B$14*$F$3</f>
        <v>54010.842857142852</v>
      </c>
      <c r="C42" s="135">
        <f>'User Volumes'!$C19*$B$14*$F$3</f>
        <v>53922.592589189568</v>
      </c>
      <c r="D42" s="135">
        <f>'User Volumes'!$B19*$C$14*$F$3</f>
        <v>478896.14</v>
      </c>
      <c r="E42" s="135">
        <f>'User Volumes'!C19*$C$14*$F$3</f>
        <v>478113.65429081424</v>
      </c>
      <c r="F42" s="1"/>
      <c r="G42" s="27">
        <v>0</v>
      </c>
      <c r="H42" s="27">
        <v>0</v>
      </c>
      <c r="I42" s="27">
        <v>0</v>
      </c>
      <c r="J42" s="27">
        <v>0</v>
      </c>
      <c r="K42" s="27">
        <v>0</v>
      </c>
      <c r="L42" s="27">
        <v>0</v>
      </c>
      <c r="M42" s="27">
        <v>0</v>
      </c>
      <c r="N42" s="27">
        <v>0</v>
      </c>
      <c r="O42" s="19">
        <f>IFERROR(VLOOKUP($A42,'Parameter Values'!$A$78:$E$107,2,FALSE),'Parameter Values'!B$107)</f>
        <v>22900</v>
      </c>
      <c r="P42" s="19">
        <f>IFERROR(VLOOKUP($A42,'Parameter Values'!$A$78:$E$107,3,FALSE),'Parameter Values'!C$107)</f>
        <v>63700</v>
      </c>
      <c r="Q42" s="19">
        <f>IFERROR(VLOOKUP($A42,'Parameter Values'!$A$78:$E$107,4,FALSE),'Parameter Values'!D$107)</f>
        <v>1108000</v>
      </c>
      <c r="R42" s="19">
        <f>IFERROR(VLOOKUP($A42,'Parameter Values'!$A$78:$E$107,5,FALSE),'Parameter Values'!E$107)</f>
        <v>333</v>
      </c>
      <c r="S42" s="19">
        <f t="shared" si="0"/>
        <v>88.250267953284492</v>
      </c>
      <c r="T42" s="18">
        <f t="shared" si="1"/>
        <v>782.48570918577025</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c r="A43" s="1">
        <f>IF(A42&lt;'Project Information'!B$10,A42+1,"")</f>
        <v>2046</v>
      </c>
      <c r="B43" s="135">
        <f>'User Volumes'!$B20*$B$14*$F$3</f>
        <v>54012.085714285706</v>
      </c>
      <c r="C43" s="135">
        <f>'User Volumes'!$C20*$B$14*$F$3</f>
        <v>53908.958007623172</v>
      </c>
      <c r="D43" s="135">
        <f>'User Volumes'!$B20*$C$14*$F$3</f>
        <v>478907.16000000003</v>
      </c>
      <c r="E43" s="135">
        <f>'User Volumes'!C20*$C$14*$F$3</f>
        <v>477992.7610009255</v>
      </c>
      <c r="F43" s="1"/>
      <c r="G43" s="27">
        <v>0</v>
      </c>
      <c r="H43" s="27">
        <v>0</v>
      </c>
      <c r="I43" s="27">
        <v>0</v>
      </c>
      <c r="J43" s="27">
        <v>0</v>
      </c>
      <c r="K43" s="27">
        <v>0</v>
      </c>
      <c r="L43" s="27">
        <v>0</v>
      </c>
      <c r="M43" s="27">
        <v>0</v>
      </c>
      <c r="N43" s="27">
        <v>0</v>
      </c>
      <c r="O43" s="19">
        <f>IFERROR(VLOOKUP($A43,'Parameter Values'!$A$78:$E$107,2,FALSE),'Parameter Values'!B$107)</f>
        <v>22900</v>
      </c>
      <c r="P43" s="19">
        <f>IFERROR(VLOOKUP($A43,'Parameter Values'!$A$78:$E$107,3,FALSE),'Parameter Values'!C$107)</f>
        <v>63700</v>
      </c>
      <c r="Q43" s="19">
        <f>IFERROR(VLOOKUP($A43,'Parameter Values'!$A$78:$E$107,4,FALSE),'Parameter Values'!D$107)</f>
        <v>1108000</v>
      </c>
      <c r="R43" s="19">
        <f>IFERROR(VLOOKUP($A43,'Parameter Values'!$A$78:$E$107,5,FALSE),'Parameter Values'!E$107)</f>
        <v>338</v>
      </c>
      <c r="S43" s="19">
        <f t="shared" si="0"/>
        <v>103.12770666253346</v>
      </c>
      <c r="T43" s="18">
        <f t="shared" si="1"/>
        <v>914.39899907453218</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c r="A44" s="1">
        <f>IF(A43&lt;'Project Information'!B$10,A43+1,"")</f>
        <v>2047</v>
      </c>
      <c r="B44" s="135">
        <f>'User Volumes'!$B21*$B$14*$F$3</f>
        <v>54013.328571428574</v>
      </c>
      <c r="C44" s="135">
        <f>'User Volumes'!$C21*$B$14*$F$3</f>
        <v>53889.460283738859</v>
      </c>
      <c r="D44" s="135">
        <f>'User Volumes'!$B21*$C$14*$F$3</f>
        <v>478918.18000000005</v>
      </c>
      <c r="E44" s="135">
        <f>'User Volumes'!C21*$C$14*$F$3</f>
        <v>477819.88118248462</v>
      </c>
      <c r="F44" s="1"/>
      <c r="G44" s="27">
        <v>0</v>
      </c>
      <c r="H44" s="27">
        <v>0</v>
      </c>
      <c r="I44" s="27">
        <v>0</v>
      </c>
      <c r="J44" s="27">
        <v>0</v>
      </c>
      <c r="K44" s="27">
        <v>0</v>
      </c>
      <c r="L44" s="27">
        <v>0</v>
      </c>
      <c r="M44" s="27">
        <v>0</v>
      </c>
      <c r="N44" s="27">
        <v>0</v>
      </c>
      <c r="O44" s="19">
        <f>IFERROR(VLOOKUP($A44,'Parameter Values'!$A$78:$E$107,2,FALSE),'Parameter Values'!B$107)</f>
        <v>22900</v>
      </c>
      <c r="P44" s="19">
        <f>IFERROR(VLOOKUP($A44,'Parameter Values'!$A$78:$E$107,3,FALSE),'Parameter Values'!C$107)</f>
        <v>63700</v>
      </c>
      <c r="Q44" s="19">
        <f>IFERROR(VLOOKUP($A44,'Parameter Values'!$A$78:$E$107,4,FALSE),'Parameter Values'!D$107)</f>
        <v>1108000</v>
      </c>
      <c r="R44" s="19">
        <f>IFERROR(VLOOKUP($A44,'Parameter Values'!$A$78:$E$107,5,FALSE),'Parameter Values'!E$107)</f>
        <v>344</v>
      </c>
      <c r="S44" s="19">
        <f t="shared" si="0"/>
        <v>123.86828768971463</v>
      </c>
      <c r="T44" s="18">
        <f t="shared" si="1"/>
        <v>1098.2988175154314</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c r="A45" s="1">
        <f>IF(A44&lt;'Project Information'!B$10,A44+1,"")</f>
        <v>2048</v>
      </c>
      <c r="B45" s="135">
        <f>'User Volumes'!$B22*$B$14*$F$3</f>
        <v>54014.57142857142</v>
      </c>
      <c r="C45" s="135">
        <f>'User Volumes'!$C22*$B$14*$F$3</f>
        <v>53859.706131935483</v>
      </c>
      <c r="D45" s="135">
        <f>'User Volumes'!$B22*$C$14*$F$3</f>
        <v>478929.19999999995</v>
      </c>
      <c r="E45" s="135">
        <f>'User Volumes'!C22*$C$14*$F$3</f>
        <v>477556.06103649462</v>
      </c>
      <c r="F45" s="1"/>
      <c r="G45" s="27">
        <v>0</v>
      </c>
      <c r="H45" s="27">
        <v>0</v>
      </c>
      <c r="I45" s="27">
        <v>0</v>
      </c>
      <c r="J45" s="27">
        <v>0</v>
      </c>
      <c r="K45" s="27">
        <v>0</v>
      </c>
      <c r="L45" s="27">
        <v>0</v>
      </c>
      <c r="M45" s="27">
        <v>0</v>
      </c>
      <c r="N45" s="27">
        <v>0</v>
      </c>
      <c r="O45" s="19">
        <f>IFERROR(VLOOKUP($A45,'Parameter Values'!$A$78:$E$107,2,FALSE),'Parameter Values'!B$107)</f>
        <v>22900</v>
      </c>
      <c r="P45" s="19">
        <f>IFERROR(VLOOKUP($A45,'Parameter Values'!$A$78:$E$107,3,FALSE),'Parameter Values'!C$107)</f>
        <v>63700</v>
      </c>
      <c r="Q45" s="19">
        <f>IFERROR(VLOOKUP($A45,'Parameter Values'!$A$78:$E$107,4,FALSE),'Parameter Values'!D$107)</f>
        <v>1108000</v>
      </c>
      <c r="R45" s="19">
        <f>IFERROR(VLOOKUP($A45,'Parameter Values'!$A$78:$E$107,5,FALSE),'Parameter Values'!E$107)</f>
        <v>348</v>
      </c>
      <c r="S45" s="19">
        <f t="shared" si="0"/>
        <v>154.86529663593683</v>
      </c>
      <c r="T45" s="18">
        <f t="shared" si="1"/>
        <v>1373.1389635053347</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c r="A46" s="1">
        <f>IF(A45&lt;'Project Information'!B$10,A45+1,"")</f>
        <v>2049</v>
      </c>
      <c r="B46" s="135">
        <f>'User Volumes'!$B23*$B$14*$F$3</f>
        <v>54015.814285714274</v>
      </c>
      <c r="C46" s="135">
        <f>'User Volumes'!$C23*$B$14*$F$3</f>
        <v>53809.444689214302</v>
      </c>
      <c r="D46" s="135">
        <f>'User Volumes'!$B23*$C$14*$F$3</f>
        <v>478940.22</v>
      </c>
      <c r="E46" s="135">
        <f>'User Volumes'!C23*$C$14*$F$3</f>
        <v>477110.40957770025</v>
      </c>
      <c r="F46" s="1"/>
      <c r="G46" s="27">
        <v>0</v>
      </c>
      <c r="H46" s="27">
        <v>0</v>
      </c>
      <c r="I46" s="27">
        <v>0</v>
      </c>
      <c r="J46" s="27">
        <v>0</v>
      </c>
      <c r="K46" s="27">
        <v>0</v>
      </c>
      <c r="L46" s="27">
        <v>0</v>
      </c>
      <c r="M46" s="27">
        <v>0</v>
      </c>
      <c r="N46" s="27">
        <v>0</v>
      </c>
      <c r="O46" s="19">
        <f>IFERROR(VLOOKUP($A46,'Parameter Values'!$A$78:$E$107,2,FALSE),'Parameter Values'!B$107)</f>
        <v>22900</v>
      </c>
      <c r="P46" s="19">
        <f>IFERROR(VLOOKUP($A46,'Parameter Values'!$A$78:$E$107,3,FALSE),'Parameter Values'!C$107)</f>
        <v>63700</v>
      </c>
      <c r="Q46" s="19">
        <f>IFERROR(VLOOKUP($A46,'Parameter Values'!$A$78:$E$107,4,FALSE),'Parameter Values'!D$107)</f>
        <v>1108000</v>
      </c>
      <c r="R46" s="19">
        <f>IFERROR(VLOOKUP($A46,'Parameter Values'!$A$78:$E$107,5,FALSE),'Parameter Values'!E$107)</f>
        <v>353</v>
      </c>
      <c r="S46" s="19">
        <f t="shared" si="0"/>
        <v>206.36959649997152</v>
      </c>
      <c r="T46" s="18">
        <f t="shared" si="1"/>
        <v>1829.8104222997208</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c r="A47" s="1">
        <f>IF(A46&lt;'Project Information'!B$10,A46+1,"")</f>
        <v>2050</v>
      </c>
      <c r="B47" s="135">
        <f>'User Volumes'!$B24*$B$14*$F$3</f>
        <v>54017.057142857135</v>
      </c>
      <c r="C47" s="135">
        <f>'User Volumes'!$C24*$B$14*$F$3</f>
        <v>53707.923576038389</v>
      </c>
      <c r="D47" s="135">
        <f>'User Volumes'!$B24*$C$14*$F$3</f>
        <v>478951.24</v>
      </c>
      <c r="E47" s="135">
        <f>'User Volumes'!C24*$C$14*$F$3</f>
        <v>476210.25570754037</v>
      </c>
      <c r="F47" s="1"/>
      <c r="G47" s="27">
        <v>0</v>
      </c>
      <c r="H47" s="27">
        <v>0</v>
      </c>
      <c r="I47" s="27">
        <v>0</v>
      </c>
      <c r="J47" s="27">
        <v>0</v>
      </c>
      <c r="K47" s="27">
        <v>0</v>
      </c>
      <c r="L47" s="27">
        <v>0</v>
      </c>
      <c r="M47" s="27">
        <v>0</v>
      </c>
      <c r="N47" s="27">
        <v>0</v>
      </c>
      <c r="O47" s="19">
        <f>IFERROR(VLOOKUP($A47,'Parameter Values'!$A$78:$E$107,2,FALSE),'Parameter Values'!B$107)</f>
        <v>22900</v>
      </c>
      <c r="P47" s="19">
        <f>IFERROR(VLOOKUP($A47,'Parameter Values'!$A$78:$E$107,3,FALSE),'Parameter Values'!C$107)</f>
        <v>63700</v>
      </c>
      <c r="Q47" s="19">
        <f>IFERROR(VLOOKUP($A47,'Parameter Values'!$A$78:$E$107,4,FALSE),'Parameter Values'!D$107)</f>
        <v>1108000</v>
      </c>
      <c r="R47" s="19">
        <f>IFERROR(VLOOKUP($A47,'Parameter Values'!$A$78:$E$107,5,FALSE),'Parameter Values'!E$107)</f>
        <v>357</v>
      </c>
      <c r="S47" s="19">
        <f t="shared" si="0"/>
        <v>309.13356681874575</v>
      </c>
      <c r="T47" s="18">
        <f t="shared" si="1"/>
        <v>2740.984292459616</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c r="A48" s="1">
        <f>IF(A47&lt;'Project Information'!B$10,A47+1,"")</f>
        <v>2051</v>
      </c>
      <c r="B48" s="135">
        <f>'User Volumes'!$B25*$B$14*$F$3</f>
        <v>54018.299999999996</v>
      </c>
      <c r="C48" s="135">
        <f>'User Volumes'!$C25*$B$14*$F$3</f>
        <v>53401.38132251591</v>
      </c>
      <c r="D48" s="135">
        <f>'User Volumes'!$B25*$C$14*$F$3</f>
        <v>478962.25999999995</v>
      </c>
      <c r="E48" s="135">
        <f>'User Volumes'!C25*$C$14*$F$3</f>
        <v>473492.24772630777</v>
      </c>
      <c r="F48" s="1"/>
      <c r="G48" s="27">
        <v>0</v>
      </c>
      <c r="H48" s="27">
        <v>0</v>
      </c>
      <c r="I48" s="27">
        <v>0</v>
      </c>
      <c r="J48" s="27">
        <v>0</v>
      </c>
      <c r="K48" s="27">
        <v>0</v>
      </c>
      <c r="L48" s="27">
        <v>0</v>
      </c>
      <c r="M48" s="27">
        <v>0</v>
      </c>
      <c r="N48" s="27">
        <v>0</v>
      </c>
      <c r="O48" s="19">
        <f>IFERROR(VLOOKUP($A48,'Parameter Values'!$A$78:$E$107,2,FALSE),'Parameter Values'!B$107)</f>
        <v>22900</v>
      </c>
      <c r="P48" s="19">
        <f>IFERROR(VLOOKUP($A48,'Parameter Values'!$A$78:$E$107,3,FALSE),'Parameter Values'!C$107)</f>
        <v>63700</v>
      </c>
      <c r="Q48" s="19">
        <f>IFERROR(VLOOKUP($A48,'Parameter Values'!$A$78:$E$107,4,FALSE),'Parameter Values'!D$107)</f>
        <v>1108000</v>
      </c>
      <c r="R48" s="19">
        <f>IFERROR(VLOOKUP($A48,'Parameter Values'!$A$78:$E$107,5,FALSE),'Parameter Values'!E$107)</f>
        <v>362</v>
      </c>
      <c r="S48" s="19">
        <f t="shared" si="0"/>
        <v>616.91867748408549</v>
      </c>
      <c r="T48" s="18">
        <f>(D48-E48)+((M48-N48)*R48)</f>
        <v>5470.0122736921767</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c r="A49" s="1" t="str">
        <f>IF(A48&lt;'Project Information'!B$10,A48+1,"")</f>
        <v/>
      </c>
      <c r="B49" s="135">
        <v>0</v>
      </c>
      <c r="C49" s="135">
        <v>0</v>
      </c>
      <c r="D49" s="135">
        <f>'Population and Mode Share Proj.'!AA58*$C$13</f>
        <v>0</v>
      </c>
      <c r="E49" s="136">
        <v>0</v>
      </c>
      <c r="F49" s="1"/>
      <c r="G49" s="27">
        <v>0</v>
      </c>
      <c r="H49" s="27">
        <v>0</v>
      </c>
      <c r="I49" s="27">
        <v>0</v>
      </c>
      <c r="J49" s="27">
        <v>0</v>
      </c>
      <c r="K49" s="27">
        <v>0</v>
      </c>
      <c r="L49" s="27">
        <v>0</v>
      </c>
      <c r="M49" s="27">
        <v>0</v>
      </c>
      <c r="N49" s="27">
        <v>0</v>
      </c>
      <c r="O49" s="19">
        <f>IFERROR(VLOOKUP($A49,'Parameter Values'!$A$78:$E$107,2,FALSE),'Parameter Values'!B$107)</f>
        <v>22900</v>
      </c>
      <c r="P49" s="19">
        <f>IFERROR(VLOOKUP($A49,'Parameter Values'!$A$78:$E$107,3,FALSE),'Parameter Values'!C$107)</f>
        <v>63700</v>
      </c>
      <c r="Q49" s="19">
        <f>IFERROR(VLOOKUP($A49,'Parameter Values'!$A$78:$E$107,4,FALSE),'Parameter Values'!D$107)</f>
        <v>1108000</v>
      </c>
      <c r="R49" s="19">
        <f>IFERROR(VLOOKUP($A49,'Parameter Values'!$A$78:$E$107,5,FALSE),'Parameter Values'!E$107)</f>
        <v>366</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c r="A50" s="1" t="str">
        <f>IF(A49&lt;'Project Information'!B$10,A49+1,"")</f>
        <v/>
      </c>
      <c r="B50" s="135">
        <v>0</v>
      </c>
      <c r="C50" s="135">
        <v>0</v>
      </c>
      <c r="D50" s="135">
        <v>0</v>
      </c>
      <c r="E50" s="136">
        <v>0</v>
      </c>
      <c r="F50" s="1"/>
      <c r="G50" s="27">
        <v>0</v>
      </c>
      <c r="H50" s="27">
        <v>0</v>
      </c>
      <c r="I50" s="27">
        <v>0</v>
      </c>
      <c r="J50" s="27">
        <v>0</v>
      </c>
      <c r="K50" s="27">
        <v>0</v>
      </c>
      <c r="L50" s="27">
        <v>0</v>
      </c>
      <c r="M50" s="27">
        <v>0</v>
      </c>
      <c r="N50" s="27">
        <v>0</v>
      </c>
      <c r="O50" s="19">
        <f>IFERROR(VLOOKUP($A50,'Parameter Values'!$A$78:$E$107,2,FALSE),'Parameter Values'!B$107)</f>
        <v>22900</v>
      </c>
      <c r="P50" s="19">
        <f>IFERROR(VLOOKUP($A50,'Parameter Values'!$A$78:$E$107,3,FALSE),'Parameter Values'!C$107)</f>
        <v>63700</v>
      </c>
      <c r="Q50" s="19">
        <f>IFERROR(VLOOKUP($A50,'Parameter Values'!$A$78:$E$107,4,FALSE),'Parameter Values'!D$107)</f>
        <v>1108000</v>
      </c>
      <c r="R50" s="19">
        <f>IFERROR(VLOOKUP($A50,'Parameter Values'!$A$78:$E$107,5,FALSE),'Parameter Values'!E$107)</f>
        <v>366</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c r="A51" s="1" t="str">
        <f>IF(A50&lt;'Project Information'!B$10,A50+1,"")</f>
        <v/>
      </c>
      <c r="B51" s="135">
        <v>0</v>
      </c>
      <c r="C51" s="135">
        <v>0</v>
      </c>
      <c r="D51" s="135">
        <v>0</v>
      </c>
      <c r="E51" s="136">
        <v>0</v>
      </c>
      <c r="F51" s="1"/>
      <c r="G51" s="27">
        <v>0</v>
      </c>
      <c r="H51" s="27">
        <v>0</v>
      </c>
      <c r="I51" s="27">
        <v>0</v>
      </c>
      <c r="J51" s="27">
        <v>0</v>
      </c>
      <c r="K51" s="27">
        <v>0</v>
      </c>
      <c r="L51" s="27">
        <v>0</v>
      </c>
      <c r="M51" s="27">
        <v>0</v>
      </c>
      <c r="N51" s="27">
        <v>0</v>
      </c>
      <c r="O51" s="19">
        <f>IFERROR(VLOOKUP($A51,'Parameter Values'!$A$78:$E$107,2,FALSE),'Parameter Values'!B$107)</f>
        <v>22900</v>
      </c>
      <c r="P51" s="19">
        <f>IFERROR(VLOOKUP($A51,'Parameter Values'!$A$78:$E$107,3,FALSE),'Parameter Values'!C$107)</f>
        <v>63700</v>
      </c>
      <c r="Q51" s="19">
        <f>IFERROR(VLOOKUP($A51,'Parameter Values'!$A$78:$E$107,4,FALSE),'Parameter Values'!D$107)</f>
        <v>1108000</v>
      </c>
      <c r="R51" s="19">
        <f>IFERROR(VLOOKUP($A51,'Parameter Values'!$A$78:$E$107,5,FALSE),'Parameter Values'!E$107)</f>
        <v>366</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c r="A52" s="1" t="str">
        <f>IF(A51&lt;'Project Information'!B$10,A51+1,"")</f>
        <v/>
      </c>
      <c r="B52" s="135">
        <v>0</v>
      </c>
      <c r="C52" s="135">
        <v>0</v>
      </c>
      <c r="D52" s="135">
        <v>0</v>
      </c>
      <c r="E52" s="136">
        <v>0</v>
      </c>
      <c r="F52" s="1"/>
      <c r="G52" s="27">
        <v>0</v>
      </c>
      <c r="H52" s="27">
        <v>0</v>
      </c>
      <c r="I52" s="27">
        <v>0</v>
      </c>
      <c r="J52" s="27">
        <v>0</v>
      </c>
      <c r="K52" s="27">
        <v>0</v>
      </c>
      <c r="L52" s="27">
        <v>0</v>
      </c>
      <c r="M52" s="27">
        <v>0</v>
      </c>
      <c r="N52" s="27">
        <v>0</v>
      </c>
      <c r="O52" s="19">
        <f>IFERROR(VLOOKUP($A52,'Parameter Values'!$A$78:$E$107,2,FALSE),'Parameter Values'!B$107)</f>
        <v>22900</v>
      </c>
      <c r="P52" s="19">
        <f>IFERROR(VLOOKUP($A52,'Parameter Values'!$A$78:$E$107,3,FALSE),'Parameter Values'!C$107)</f>
        <v>63700</v>
      </c>
      <c r="Q52" s="19">
        <f>IFERROR(VLOOKUP($A52,'Parameter Values'!$A$78:$E$107,4,FALSE),'Parameter Values'!D$107)</f>
        <v>1108000</v>
      </c>
      <c r="R52" s="19">
        <f>IFERROR(VLOOKUP($A52,'Parameter Values'!$A$78:$E$107,5,FALSE),'Parameter Values'!E$107)</f>
        <v>366</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c r="A53" s="1" t="str">
        <f>IF(A52&lt;'Project Information'!B$10,A52+1,"")</f>
        <v/>
      </c>
      <c r="B53" s="135">
        <v>0</v>
      </c>
      <c r="C53" s="135">
        <v>0</v>
      </c>
      <c r="D53" s="135">
        <v>0</v>
      </c>
      <c r="E53" s="136">
        <v>0</v>
      </c>
      <c r="F53" s="1"/>
      <c r="G53" s="27">
        <v>0</v>
      </c>
      <c r="H53" s="27">
        <v>0</v>
      </c>
      <c r="I53" s="27">
        <v>0</v>
      </c>
      <c r="J53" s="27">
        <v>0</v>
      </c>
      <c r="K53" s="27">
        <v>0</v>
      </c>
      <c r="L53" s="27">
        <v>0</v>
      </c>
      <c r="M53" s="27">
        <v>0</v>
      </c>
      <c r="N53" s="27">
        <v>0</v>
      </c>
      <c r="O53" s="19">
        <f>IFERROR(VLOOKUP($A53,'Parameter Values'!$A$78:$E$107,2,FALSE),'Parameter Values'!B$107)</f>
        <v>22900</v>
      </c>
      <c r="P53" s="19">
        <f>IFERROR(VLOOKUP($A53,'Parameter Values'!$A$78:$E$107,3,FALSE),'Parameter Values'!C$107)</f>
        <v>63700</v>
      </c>
      <c r="Q53" s="19">
        <f>IFERROR(VLOOKUP($A53,'Parameter Values'!$A$78:$E$107,4,FALSE),'Parameter Values'!D$107)</f>
        <v>1108000</v>
      </c>
      <c r="R53" s="19">
        <f>IFERROR(VLOOKUP($A53,'Parameter Values'!$A$78:$E$107,5,FALSE),'Parameter Values'!E$107)</f>
        <v>366</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c r="A54" s="1" t="str">
        <f>IF(A53&lt;'Project Information'!B$10,A53+1,"")</f>
        <v/>
      </c>
      <c r="B54" s="135">
        <v>0</v>
      </c>
      <c r="C54" s="135">
        <v>0</v>
      </c>
      <c r="D54" s="135">
        <v>0</v>
      </c>
      <c r="E54" s="136">
        <v>0</v>
      </c>
      <c r="F54" s="1"/>
      <c r="G54" s="27">
        <v>0</v>
      </c>
      <c r="H54" s="27">
        <v>0</v>
      </c>
      <c r="I54" s="27">
        <v>0</v>
      </c>
      <c r="J54" s="27">
        <v>0</v>
      </c>
      <c r="K54" s="27">
        <v>0</v>
      </c>
      <c r="L54" s="27">
        <v>0</v>
      </c>
      <c r="M54" s="27">
        <v>0</v>
      </c>
      <c r="N54" s="27">
        <v>0</v>
      </c>
      <c r="O54" s="19">
        <f>IFERROR(VLOOKUP($A54,'Parameter Values'!$A$78:$E$107,2,FALSE),'Parameter Values'!B$107)</f>
        <v>22900</v>
      </c>
      <c r="P54" s="19">
        <f>IFERROR(VLOOKUP($A54,'Parameter Values'!$A$78:$E$107,3,FALSE),'Parameter Values'!C$107)</f>
        <v>63700</v>
      </c>
      <c r="Q54" s="19">
        <f>IFERROR(VLOOKUP($A54,'Parameter Values'!$A$78:$E$107,4,FALSE),'Parameter Values'!D$107)</f>
        <v>1108000</v>
      </c>
      <c r="R54" s="19">
        <f>IFERROR(VLOOKUP($A54,'Parameter Values'!$A$78:$E$107,5,FALSE),'Parameter Values'!E$107)</f>
        <v>366</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c r="A55" s="1" t="str">
        <f>IF(A54&lt;'Project Information'!B$10,A54+1,"")</f>
        <v/>
      </c>
      <c r="B55" s="135">
        <v>0</v>
      </c>
      <c r="C55" s="135">
        <v>0</v>
      </c>
      <c r="D55" s="135">
        <v>0</v>
      </c>
      <c r="E55" s="136">
        <v>0</v>
      </c>
      <c r="F55" s="1"/>
      <c r="G55" s="27">
        <v>0</v>
      </c>
      <c r="H55" s="27">
        <v>0</v>
      </c>
      <c r="I55" s="27">
        <v>0</v>
      </c>
      <c r="J55" s="27">
        <v>0</v>
      </c>
      <c r="K55" s="27">
        <v>0</v>
      </c>
      <c r="L55" s="27">
        <v>0</v>
      </c>
      <c r="M55" s="27">
        <v>0</v>
      </c>
      <c r="N55" s="27">
        <v>0</v>
      </c>
      <c r="O55" s="19">
        <f>IFERROR(VLOOKUP($A55,'Parameter Values'!$A$78:$E$107,2,FALSE),'Parameter Values'!B$107)</f>
        <v>22900</v>
      </c>
      <c r="P55" s="19">
        <f>IFERROR(VLOOKUP($A55,'Parameter Values'!$A$78:$E$107,3,FALSE),'Parameter Values'!C$107)</f>
        <v>63700</v>
      </c>
      <c r="Q55" s="19">
        <f>IFERROR(VLOOKUP($A55,'Parameter Values'!$A$78:$E$107,4,FALSE),'Parameter Values'!D$107)</f>
        <v>1108000</v>
      </c>
      <c r="R55" s="19">
        <f>IFERROR(VLOOKUP($A55,'Parameter Values'!$A$78:$E$107,5,FALSE),'Parameter Values'!E$107)</f>
        <v>366</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c r="A56" s="1" t="str">
        <f>IF(A55&lt;'Project Information'!B$10,A55+1,"")</f>
        <v/>
      </c>
      <c r="B56" s="135">
        <v>0</v>
      </c>
      <c r="C56" s="135">
        <v>0</v>
      </c>
      <c r="D56" s="135">
        <v>0</v>
      </c>
      <c r="E56" s="136">
        <v>0</v>
      </c>
      <c r="F56" s="1"/>
      <c r="G56" s="27">
        <v>0</v>
      </c>
      <c r="H56" s="27">
        <v>0</v>
      </c>
      <c r="I56" s="27">
        <v>0</v>
      </c>
      <c r="J56" s="27">
        <v>0</v>
      </c>
      <c r="K56" s="27">
        <v>0</v>
      </c>
      <c r="L56" s="27">
        <v>0</v>
      </c>
      <c r="M56" s="27">
        <v>0</v>
      </c>
      <c r="N56" s="27">
        <v>0</v>
      </c>
      <c r="O56" s="19">
        <f>IFERROR(VLOOKUP($A56,'Parameter Values'!$A$78:$E$107,2,FALSE),'Parameter Values'!B$107)</f>
        <v>22900</v>
      </c>
      <c r="P56" s="19">
        <f>IFERROR(VLOOKUP($A56,'Parameter Values'!$A$78:$E$107,3,FALSE),'Parameter Values'!C$107)</f>
        <v>63700</v>
      </c>
      <c r="Q56" s="19">
        <f>IFERROR(VLOOKUP($A56,'Parameter Values'!$A$78:$E$107,4,FALSE),'Parameter Values'!D$107)</f>
        <v>1108000</v>
      </c>
      <c r="R56" s="19">
        <f>IFERROR(VLOOKUP($A56,'Parameter Values'!$A$78:$E$107,5,FALSE),'Parameter Values'!E$107)</f>
        <v>366</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c r="A57" s="1" t="str">
        <f>IF(A56&lt;'Project Information'!B$10,A56+1,"")</f>
        <v/>
      </c>
      <c r="B57" s="135">
        <v>0</v>
      </c>
      <c r="C57" s="135">
        <v>0</v>
      </c>
      <c r="D57" s="135">
        <v>0</v>
      </c>
      <c r="E57" s="136">
        <v>0</v>
      </c>
      <c r="F57" s="1"/>
      <c r="G57" s="27">
        <v>0</v>
      </c>
      <c r="H57" s="27">
        <v>0</v>
      </c>
      <c r="I57" s="27">
        <v>0</v>
      </c>
      <c r="J57" s="27">
        <v>0</v>
      </c>
      <c r="K57" s="27">
        <v>0</v>
      </c>
      <c r="L57" s="27">
        <v>0</v>
      </c>
      <c r="M57" s="27">
        <v>0</v>
      </c>
      <c r="N57" s="27">
        <v>0</v>
      </c>
      <c r="O57" s="19">
        <f>IFERROR(VLOOKUP($A57,'Parameter Values'!$A$78:$E$107,2,FALSE),'Parameter Values'!B$107)</f>
        <v>22900</v>
      </c>
      <c r="P57" s="19">
        <f>IFERROR(VLOOKUP($A57,'Parameter Values'!$A$78:$E$107,3,FALSE),'Parameter Values'!C$107)</f>
        <v>63700</v>
      </c>
      <c r="Q57" s="19">
        <f>IFERROR(VLOOKUP($A57,'Parameter Values'!$A$78:$E$107,4,FALSE),'Parameter Values'!D$107)</f>
        <v>1108000</v>
      </c>
      <c r="R57" s="19">
        <f>IFERROR(VLOOKUP($A57,'Parameter Values'!$A$78:$E$107,5,FALSE),'Parameter Values'!E$107)</f>
        <v>366</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c r="A58" s="1" t="str">
        <f>IF(A57&lt;'Project Information'!B$10,A57+1,"")</f>
        <v/>
      </c>
      <c r="B58" s="137">
        <v>0</v>
      </c>
      <c r="C58" s="137">
        <v>0</v>
      </c>
      <c r="D58" s="137">
        <v>0</v>
      </c>
      <c r="E58" s="138">
        <v>0</v>
      </c>
      <c r="F58" s="2"/>
      <c r="G58" s="34">
        <v>0</v>
      </c>
      <c r="H58" s="34">
        <v>0</v>
      </c>
      <c r="I58" s="34">
        <v>0</v>
      </c>
      <c r="J58" s="34">
        <v>0</v>
      </c>
      <c r="K58" s="34">
        <v>0</v>
      </c>
      <c r="L58" s="34">
        <v>0</v>
      </c>
      <c r="M58" s="34">
        <v>0</v>
      </c>
      <c r="N58" s="23">
        <v>0</v>
      </c>
      <c r="O58" s="20">
        <f>IFERROR(VLOOKUP($A58,'Parameter Values'!$A$78:$E$107,2,FALSE),'Parameter Values'!B$107)</f>
        <v>22900</v>
      </c>
      <c r="P58" s="20">
        <f>IFERROR(VLOOKUP($A58,'Parameter Values'!$A$78:$E$107,3,FALSE),'Parameter Values'!C$107)</f>
        <v>63700</v>
      </c>
      <c r="Q58" s="20">
        <f>IFERROR(VLOOKUP($A58,'Parameter Values'!$A$78:$E$107,4,FALSE),'Parameter Values'!D$107)</f>
        <v>1108000</v>
      </c>
      <c r="R58" s="20">
        <f>IFERROR(VLOOKUP($A58,'Parameter Values'!$A$78:$E$107,5,FALSE),'Parameter Values'!E$107)</f>
        <v>366</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ht="15.75" thickBot="1">
      <c r="AA108" s="15"/>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7"/>
    </row>
  </sheetData>
  <conditionalFormatting sqref="B29:E58">
    <cfRule type="expression" dxfId="10" priority="2">
      <formula>$A29=""</formula>
    </cfRule>
  </conditionalFormatting>
  <conditionalFormatting sqref="G29:N58">
    <cfRule type="expression" dxfId="9" priority="1">
      <formula>$A29=""</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topLeftCell="A3" workbookViewId="0">
      <selection activeCell="F27" sqref="F27"/>
    </sheetView>
  </sheetViews>
  <sheetFormatPr defaultColWidth="9.140625" defaultRowHeight="15"/>
  <cols>
    <col min="1" max="1" width="32" style="5" customWidth="1"/>
    <col min="2" max="2" width="24.42578125" style="5" customWidth="1"/>
    <col min="3" max="3" width="25.7109375" style="5" customWidth="1"/>
    <col min="4" max="4" width="24.42578125" style="5" customWidth="1"/>
    <col min="5" max="10" width="9.140625" style="5"/>
    <col min="11" max="11" width="10.28515625" style="5" customWidth="1"/>
    <col min="12" max="16384" width="9.140625" style="5"/>
  </cols>
  <sheetData>
    <row r="1" spans="1:11" ht="20.25" thickBot="1">
      <c r="A1" s="96" t="s">
        <v>286</v>
      </c>
    </row>
    <row r="2" spans="1:11" ht="15.75" thickTop="1">
      <c r="A2" s="151" t="s">
        <v>238</v>
      </c>
      <c r="B2" s="151"/>
      <c r="C2" s="151"/>
      <c r="D2" s="151"/>
      <c r="E2" s="151"/>
      <c r="F2" s="151"/>
      <c r="G2" s="151"/>
      <c r="H2" s="151"/>
      <c r="I2" s="151"/>
    </row>
    <row r="3" spans="1:11">
      <c r="A3" s="5" t="s">
        <v>20</v>
      </c>
    </row>
    <row r="4" spans="1:11">
      <c r="A4" s="152" t="s">
        <v>232</v>
      </c>
      <c r="B4" s="151"/>
      <c r="C4" s="151"/>
      <c r="D4" s="151"/>
      <c r="E4" s="151"/>
      <c r="F4" s="151"/>
      <c r="G4" s="151"/>
      <c r="H4" s="151"/>
      <c r="I4" s="151"/>
      <c r="J4" s="151"/>
      <c r="K4" s="151"/>
    </row>
    <row r="5" spans="1:11">
      <c r="A5" s="38" t="s">
        <v>20</v>
      </c>
    </row>
    <row r="6" spans="1:11">
      <c r="A6" s="97" t="s">
        <v>239</v>
      </c>
    </row>
    <row r="7" spans="1:11">
      <c r="A7" s="117" t="s">
        <v>196</v>
      </c>
      <c r="B7" s="157" t="s">
        <v>287</v>
      </c>
      <c r="C7" s="158" t="s">
        <v>288</v>
      </c>
      <c r="D7" s="159" t="s">
        <v>289</v>
      </c>
    </row>
    <row r="8" spans="1:11">
      <c r="A8" s="43" t="str">
        <f>'Parameter Values'!A231</f>
        <v>Light-Duty Vehicles - Urban</v>
      </c>
      <c r="B8" s="142">
        <f>'Parameter Values'!B231</f>
        <v>0.14299999999999999</v>
      </c>
      <c r="C8" s="143">
        <f>'Parameter Values'!C231</f>
        <v>2E-3</v>
      </c>
      <c r="D8" s="141">
        <f>'Parameter Values'!D231</f>
        <v>1.7999999999999999E-2</v>
      </c>
    </row>
    <row r="9" spans="1:11">
      <c r="A9" s="43" t="str">
        <f>'Parameter Values'!A232</f>
        <v>Light-Duty Vehicles - Rural</v>
      </c>
      <c r="B9" s="142">
        <f>'Parameter Values'!B232</f>
        <v>0.03</v>
      </c>
      <c r="C9" s="143">
        <f>'Parameter Values'!C232</f>
        <v>2.0000000000000001E-4</v>
      </c>
      <c r="D9" s="141">
        <f>'Parameter Values'!D232</f>
        <v>0.10199999999999999</v>
      </c>
    </row>
    <row r="10" spans="1:11">
      <c r="A10" s="43" t="str">
        <f>'Parameter Values'!A233</f>
        <v>Light-Duty Vehicles – All Locations</v>
      </c>
      <c r="B10" s="142">
        <f>'Parameter Values'!B233</f>
        <v>0.12</v>
      </c>
      <c r="C10" s="143">
        <f>'Parameter Values'!C233</f>
        <v>1.1000000000000001E-3</v>
      </c>
      <c r="D10" s="141">
        <f>'Parameter Values'!D233</f>
        <v>4.2000000000000003E-2</v>
      </c>
    </row>
    <row r="11" spans="1:11">
      <c r="A11" s="43" t="str">
        <f>'Parameter Values'!A234</f>
        <v>Buses and Trucks - Urban</v>
      </c>
      <c r="B11" s="142">
        <f>'Parameter Values'!B234</f>
        <v>0.35799999999999998</v>
      </c>
      <c r="C11" s="143">
        <f>'Parameter Values'!C234</f>
        <v>4.53E-2</v>
      </c>
      <c r="D11" s="141">
        <f>'Parameter Values'!D234</f>
        <v>1.7000000000000001E-2</v>
      </c>
    </row>
    <row r="12" spans="1:11">
      <c r="A12" s="43" t="str">
        <f>'Parameter Values'!A235</f>
        <v>Buses and Trucks - Rural</v>
      </c>
      <c r="B12" s="142">
        <f>'Parameter Values'!B235</f>
        <v>7.8E-2</v>
      </c>
      <c r="C12" s="143">
        <f>'Parameter Values'!C235</f>
        <v>3.8E-3</v>
      </c>
      <c r="D12" s="141">
        <f>'Parameter Values'!D235</f>
        <v>2.9000000000000001E-2</v>
      </c>
    </row>
    <row r="13" spans="1:11">
      <c r="A13" s="43" t="str">
        <f>'Parameter Values'!A236</f>
        <v>Buses and Trucks – All Locations</v>
      </c>
      <c r="B13" s="142">
        <f>'Parameter Values'!B236</f>
        <v>0.245</v>
      </c>
      <c r="C13" s="143">
        <f>'Parameter Values'!C236</f>
        <v>2.2800000000000001E-2</v>
      </c>
      <c r="D13" s="141">
        <f>'Parameter Values'!D236</f>
        <v>2.1999999999999999E-2</v>
      </c>
    </row>
    <row r="14" spans="1:11">
      <c r="A14" s="43" t="str">
        <f>'Parameter Values'!A237</f>
        <v>All Vehicles - Urban</v>
      </c>
      <c r="B14" s="142">
        <f>'Parameter Values'!B237</f>
        <v>0.159</v>
      </c>
      <c r="C14" s="143">
        <f>'Parameter Values'!C237</f>
        <v>5.3E-3</v>
      </c>
      <c r="D14" s="141">
        <f>'Parameter Values'!D237</f>
        <v>1.7999999999999999E-2</v>
      </c>
    </row>
    <row r="15" spans="1:11">
      <c r="A15" s="43" t="str">
        <f>'Parameter Values'!A238</f>
        <v>All Vehicles - Rural</v>
      </c>
      <c r="B15" s="142">
        <f>'Parameter Values'!B238</f>
        <v>3.6999999999999998E-2</v>
      </c>
      <c r="C15" s="143">
        <f>'Parameter Values'!C238</f>
        <v>6.9999999999999999E-4</v>
      </c>
      <c r="D15" s="141">
        <f>'Parameter Values'!D238</f>
        <v>9.0999999999999998E-2</v>
      </c>
    </row>
    <row r="16" spans="1:11">
      <c r="A16" s="43" t="str">
        <f>'Parameter Values'!A239</f>
        <v>All Vehicles – All Locations</v>
      </c>
      <c r="B16" s="142">
        <f>'Parameter Values'!B239</f>
        <v>0.13300000000000001</v>
      </c>
      <c r="C16" s="143">
        <f>'Parameter Values'!C239</f>
        <v>3.2000000000000002E-3</v>
      </c>
      <c r="D16" s="141">
        <f>'Parameter Values'!D239</f>
        <v>0.04</v>
      </c>
    </row>
    <row r="17" spans="1:53">
      <c r="A17" s="38" t="s">
        <v>20</v>
      </c>
    </row>
    <row r="18" spans="1:53" ht="15.75" thickBot="1">
      <c r="A18" s="97" t="s">
        <v>290</v>
      </c>
    </row>
    <row r="19" spans="1:53">
      <c r="A19" s="107" t="s">
        <v>222</v>
      </c>
      <c r="B19" s="108" t="s">
        <v>291</v>
      </c>
      <c r="F19" s="10" t="s">
        <v>221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c r="A20" s="6">
        <f>'Project Information'!$B$8</f>
        <v>2032</v>
      </c>
      <c r="B20" s="161">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c r="A21" s="1">
        <f>IF(A20&lt;'Project Information'!B$10,A20+1,"")</f>
        <v>2033</v>
      </c>
      <c r="B21" s="161">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c r="A22" s="1">
        <f>IF(A21&lt;'Project Information'!B$10,A21+1,"")</f>
        <v>2034</v>
      </c>
      <c r="B22" s="161">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c r="A23" s="1">
        <f>IF(A22&lt;'Project Information'!B$10,A22+1,"")</f>
        <v>2035</v>
      </c>
      <c r="B23" s="161">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c r="A24" s="1">
        <f>IF(A23&lt;'Project Information'!B$10,A23+1,"")</f>
        <v>2036</v>
      </c>
      <c r="B24" s="161">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c r="A25" s="1">
        <f>IF(A24&lt;'Project Information'!B$10,A24+1,"")</f>
        <v>2037</v>
      </c>
      <c r="B25" s="161">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c r="A26" s="1">
        <f>IF(A25&lt;'Project Information'!B$10,A25+1,"")</f>
        <v>2038</v>
      </c>
      <c r="B26" s="161">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c r="A27" s="1">
        <f>IF(A26&lt;'Project Information'!B$10,A26+1,"")</f>
        <v>2039</v>
      </c>
      <c r="B27" s="161">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c r="A28" s="1">
        <f>IF(A27&lt;'Project Information'!B$10,A27+1,"")</f>
        <v>2040</v>
      </c>
      <c r="B28" s="161">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c r="A29" s="1">
        <f>IF(A28&lt;'Project Information'!B$10,A28+1,"")</f>
        <v>2041</v>
      </c>
      <c r="B29" s="161">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c r="A30" s="1">
        <f>IF(A29&lt;'Project Information'!B$10,A29+1,"")</f>
        <v>2042</v>
      </c>
      <c r="B30" s="161">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c r="A31" s="1">
        <f>IF(A30&lt;'Project Information'!B$10,A30+1,"")</f>
        <v>2043</v>
      </c>
      <c r="B31" s="161">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c r="A32" s="1">
        <f>IF(A31&lt;'Project Information'!B$10,A31+1,"")</f>
        <v>2044</v>
      </c>
      <c r="B32" s="161">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c r="A33" s="1">
        <f>IF(A32&lt;'Project Information'!B$10,A32+1,"")</f>
        <v>2045</v>
      </c>
      <c r="B33" s="161">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c r="A34" s="1">
        <f>IF(A33&lt;'Project Information'!B$10,A33+1,"")</f>
        <v>2046</v>
      </c>
      <c r="B34" s="161">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c r="A35" s="1">
        <f>IF(A34&lt;'Project Information'!B$10,A34+1,"")</f>
        <v>2047</v>
      </c>
      <c r="B35" s="161">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c r="A36" s="1">
        <f>IF(A35&lt;'Project Information'!B$10,A35+1,"")</f>
        <v>2048</v>
      </c>
      <c r="B36" s="161">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c r="A37" s="1">
        <f>IF(A36&lt;'Project Information'!B$10,A36+1,"")</f>
        <v>2049</v>
      </c>
      <c r="B37" s="161">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c r="A38" s="1">
        <f>IF(A37&lt;'Project Information'!B$10,A37+1,"")</f>
        <v>2050</v>
      </c>
      <c r="B38" s="161">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c r="A39" s="1">
        <f>IF(A38&lt;'Project Information'!B$10,A38+1,"")</f>
        <v>2051</v>
      </c>
      <c r="B39" s="161">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c r="A40" s="1" t="str">
        <f>IF(A39&lt;'Project Information'!B$10,A39+1,"")</f>
        <v/>
      </c>
      <c r="B40" s="161">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c r="A41" s="1" t="str">
        <f>IF(A40&lt;'Project Information'!B$10,A40+1,"")</f>
        <v/>
      </c>
      <c r="B41" s="161">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c r="A42" s="1" t="str">
        <f>IF(A41&lt;'Project Information'!B$10,A41+1,"")</f>
        <v/>
      </c>
      <c r="B42" s="161">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c r="A43" s="1" t="str">
        <f>IF(A42&lt;'Project Information'!B$10,A42+1,"")</f>
        <v/>
      </c>
      <c r="B43" s="161">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c r="A44" s="1" t="str">
        <f>IF(A43&lt;'Project Information'!B$10,A43+1,"")</f>
        <v/>
      </c>
      <c r="B44" s="161">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c r="A45" s="1" t="str">
        <f>IF(A44&lt;'Project Information'!B$10,A44+1,"")</f>
        <v/>
      </c>
      <c r="B45" s="161">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c r="A46" s="1" t="str">
        <f>IF(A45&lt;'Project Information'!B$10,A45+1,"")</f>
        <v/>
      </c>
      <c r="B46" s="161">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c r="A47" s="1" t="str">
        <f>IF(A46&lt;'Project Information'!B$10,A46+1,"")</f>
        <v/>
      </c>
      <c r="B47" s="161">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c r="A48" s="1" t="str">
        <f>IF(A47&lt;'Project Information'!B$10,A47+1,"")</f>
        <v/>
      </c>
      <c r="B48" s="161">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c r="A49" s="2" t="str">
        <f>IF(A48&lt;'Project Information'!B$10,A48+1,"")</f>
        <v/>
      </c>
      <c r="B49" s="119">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75" thickBot="1">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84"/>
  <sheetViews>
    <sheetView workbookViewId="0">
      <selection activeCell="G11" sqref="G11"/>
    </sheetView>
  </sheetViews>
  <sheetFormatPr defaultColWidth="9.140625" defaultRowHeight="15"/>
  <cols>
    <col min="1" max="1" width="26.42578125" style="5" customWidth="1"/>
    <col min="2" max="2" width="28.85546875" style="5" customWidth="1"/>
    <col min="3" max="5" width="9.140625" style="5"/>
    <col min="6" max="6" width="74.42578125" style="5" bestFit="1" customWidth="1"/>
    <col min="7" max="7" width="12" style="5" bestFit="1" customWidth="1"/>
    <col min="8" max="16384" width="9.140625" style="5"/>
  </cols>
  <sheetData>
    <row r="1" spans="1:52" ht="20.25" thickBot="1">
      <c r="A1" s="96" t="s">
        <v>292</v>
      </c>
    </row>
    <row r="2" spans="1:52" ht="15.75" thickTop="1">
      <c r="A2" s="5" t="s">
        <v>20</v>
      </c>
    </row>
    <row r="3" spans="1:52" ht="15.75" thickBot="1">
      <c r="A3" s="97" t="s">
        <v>293</v>
      </c>
    </row>
    <row r="4" spans="1:52">
      <c r="A4" s="107" t="s">
        <v>222</v>
      </c>
      <c r="B4" s="108" t="s">
        <v>292</v>
      </c>
      <c r="E4" s="10" t="s">
        <v>221</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2"/>
    </row>
    <row r="5" spans="1:52">
      <c r="A5" s="6">
        <f>'Project Information'!$B$8</f>
        <v>2032</v>
      </c>
      <c r="B5" s="161">
        <f>('Population and Mode Share Proj.'!R35*('Amenity Benefits'!G$11*H$14)*$G$14)</f>
        <v>2618.3279544744864</v>
      </c>
      <c r="E5" s="13"/>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s="14"/>
    </row>
    <row r="6" spans="1:52">
      <c r="A6" s="1">
        <f>IF(A5&lt;'Project Information'!B$10,A5+1,"")</f>
        <v>2033</v>
      </c>
      <c r="B6" s="161">
        <f>('Population and Mode Share Proj.'!R36*('Amenity Benefits'!G$11*H$14)*$G$14)</f>
        <v>2781.0655270105844</v>
      </c>
      <c r="E6" s="13"/>
      <c r="F6" s="174" t="s">
        <v>572</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s="14"/>
    </row>
    <row r="7" spans="1:52">
      <c r="A7" s="1">
        <f>IF(A6&lt;'Project Information'!B$10,A6+1,"")</f>
        <v>2034</v>
      </c>
      <c r="B7" s="161">
        <f>('Population and Mode Share Proj.'!R37*('Amenity Benefits'!G$11*H$14)*$G$14)</f>
        <v>2960.3332872618953</v>
      </c>
      <c r="E7" s="13"/>
      <c r="F7">
        <v>0.86</v>
      </c>
      <c r="G7" t="s">
        <v>573</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s="14"/>
    </row>
    <row r="8" spans="1:52">
      <c r="A8" s="1">
        <f>IF(A7&lt;'Project Information'!B$10,A7+1,"")</f>
        <v>2035</v>
      </c>
      <c r="B8" s="161">
        <f>('Population and Mode Share Proj.'!R38*('Amenity Benefits'!G$11*H$14)*$G$14)</f>
        <v>3158.9768890420296</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IF(A8&lt;'Project Information'!B$10,A8+1,"")</f>
        <v>2036</v>
      </c>
      <c r="B9" s="161">
        <f>('Population and Mode Share Proj.'!R39*('Amenity Benefits'!G$11*H$14)*$G$14)</f>
        <v>3380.5513895309891</v>
      </c>
      <c r="E9" s="13"/>
      <c r="F9" s="379" t="s">
        <v>108</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IF(A9&lt;'Project Information'!B$10,A9+1,"")</f>
        <v>2037</v>
      </c>
      <c r="B10" s="161">
        <f>('Population and Mode Share Proj.'!R40*('Amenity Benefits'!G$11*H$14)*$G$14)</f>
        <v>3629.5576704018008</v>
      </c>
      <c r="E10" s="13"/>
      <c r="F10" s="5" t="s">
        <v>109</v>
      </c>
      <c r="G10" s="5" t="s">
        <v>828</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Information'!B$10,A10+1,"")</f>
        <v>2038</v>
      </c>
      <c r="B11" s="161">
        <f>('Population and Mode Share Proj.'!R41*('Amenity Benefits'!G$11*H$14)*$G$14)</f>
        <v>3911.780181311145</v>
      </c>
      <c r="E11" s="13"/>
      <c r="F11" s="5" t="s">
        <v>574</v>
      </c>
      <c r="G11" s="5">
        <v>0.11</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Information'!B$10,A11+1,"")</f>
        <v>2039</v>
      </c>
      <c r="B12" s="161">
        <f>('Population and Mode Share Proj.'!R42*('Amenity Benefits'!G$11*H$14)*$G$14)</f>
        <v>4234.7805639313119</v>
      </c>
      <c r="E12" s="13"/>
      <c r="F12" s="5" t="s">
        <v>575</v>
      </c>
      <c r="G12" s="5">
        <f>800/5280</f>
        <v>0.15151515151515152</v>
      </c>
      <c r="H12" s="5">
        <v>10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2040</v>
      </c>
      <c r="B13" s="161">
        <f>('Population and Mode Share Proj.'!R43*('Amenity Benefits'!G$11*H$14)*$G$14)</f>
        <v>4608.6380868180549</v>
      </c>
      <c r="E13" s="13"/>
      <c r="F13" s="5" t="s">
        <v>806</v>
      </c>
      <c r="G13" s="5">
        <f>1900/5280</f>
        <v>0.35984848484848486</v>
      </c>
      <c r="H13" s="5">
        <v>5</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2041</v>
      </c>
      <c r="B14" s="161">
        <f>('Population and Mode Share Proj.'!R44*('Amenity Benefits'!G$11*H$14)*$G$14)</f>
        <v>5047.0939525316144</v>
      </c>
      <c r="E14" s="13"/>
      <c r="F14" s="5" t="s">
        <v>783</v>
      </c>
      <c r="G14" s="5">
        <f>SUM(G12:G13)</f>
        <v>0.51136363636363635</v>
      </c>
      <c r="H14" s="378">
        <f>((H12*G12)+(H13*G13))/G14</f>
        <v>6.4814814814814818</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2042</v>
      </c>
      <c r="B15" s="161">
        <f>('Population and Mode Share Proj.'!R45*('Amenity Benefits'!G$11*H$14)*$G$14)</f>
        <v>5569.3821875634394</v>
      </c>
      <c r="E15" s="13"/>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2043</v>
      </c>
      <c r="B16" s="161">
        <f>('Population and Mode Share Proj.'!R46*('Amenity Benefits'!G$11*H$14)*$G$14)</f>
        <v>6203.2811238851145</v>
      </c>
      <c r="E16" s="13"/>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2044</v>
      </c>
      <c r="B17" s="161">
        <f>('Population and Mode Share Proj.'!R47*('Amenity Benefits'!G$11*H$14)*$G$14)</f>
        <v>6990.4534897580497</v>
      </c>
      <c r="E17" s="13"/>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2045</v>
      </c>
      <c r="B18" s="161">
        <f>('Population and Mode Share Proj.'!R48*('Amenity Benefits'!G$11*H$14)*$G$14)</f>
        <v>7996.3637190237087</v>
      </c>
      <c r="E18" s="13"/>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2046</v>
      </c>
      <c r="B19" s="161">
        <f>('Population and Mode Share Proj.'!R49*('Amenity Benefits'!G$11*H$14)*$G$14)</f>
        <v>9330.1125670550573</v>
      </c>
      <c r="E19" s="13"/>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2047</v>
      </c>
      <c r="B20" s="161">
        <f>('Population and Mode Share Proj.'!R50*('Amenity Benefits'!G$11*H$14)*$G$14)</f>
        <v>11188.073262638416</v>
      </c>
      <c r="E20" s="13"/>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2048</v>
      </c>
      <c r="B21" s="161">
        <f>('Population and Mode Share Proj.'!R51*('Amenity Benefits'!G$11*H$14)*$G$14)</f>
        <v>13962.981883591321</v>
      </c>
      <c r="E21" s="13"/>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2049</v>
      </c>
      <c r="B22" s="161">
        <f>('Population and Mode Share Proj.'!R52*('Amenity Benefits'!G$11*H$14)*$G$14)</f>
        <v>18571.208478067791</v>
      </c>
      <c r="E22" s="1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2050</v>
      </c>
      <c r="B23" s="161">
        <f>('Population and Mode Share Proj.'!R53*('Amenity Benefits'!G$11*H$14)*$G$14)</f>
        <v>27761.84154131023</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2051</v>
      </c>
      <c r="B24" s="161">
        <f>('Population and Mode Share Proj.'!R54*('Amenity Benefits'!G$11*H$14)*$G$14)</f>
        <v>55280.279335660627</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t="str">
        <f>IF(A24&lt;'Project Information'!B$10,A24+1,"")</f>
        <v/>
      </c>
      <c r="B25" s="161">
        <v>0</v>
      </c>
      <c r="E25" s="13"/>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t="str">
        <f>IF(A25&lt;'Project Information'!B$10,A25+1,"")</f>
        <v/>
      </c>
      <c r="B26" s="161">
        <v>0</v>
      </c>
      <c r="E26" s="13"/>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t="str">
        <f>IF(A26&lt;'Project Information'!B$10,A26+1,"")</f>
        <v/>
      </c>
      <c r="B27" s="161">
        <v>0</v>
      </c>
      <c r="E27" s="13"/>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t="str">
        <f>IF(A27&lt;'Project Information'!B$10,A27+1,"")</f>
        <v/>
      </c>
      <c r="B28" s="161">
        <v>0</v>
      </c>
      <c r="E28" s="13"/>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t="str">
        <f>IF(A28&lt;'Project Information'!B$10,A28+1,"")</f>
        <v/>
      </c>
      <c r="B29" s="161">
        <v>0</v>
      </c>
      <c r="E29" s="13"/>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t="str">
        <f>IF(A29&lt;'Project Information'!B$10,A29+1,"")</f>
        <v/>
      </c>
      <c r="B30" s="161">
        <v>0</v>
      </c>
      <c r="E30" s="13"/>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t="str">
        <f>IF(A30&lt;'Project Information'!B$10,A30+1,"")</f>
        <v/>
      </c>
      <c r="B31" s="161">
        <v>0</v>
      </c>
      <c r="E31" s="13"/>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2" t="str">
        <f>IF(A33&lt;'Project Information'!B$10,A33+1,"")</f>
        <v/>
      </c>
      <c r="B34" s="119">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ht="15.75" thickBot="1">
      <c r="E84" s="15"/>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7"/>
    </row>
  </sheetData>
  <conditionalFormatting sqref="B5:B34">
    <cfRule type="expression" dxfId="7" priority="1">
      <formula>A5=""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1"/>
  <sheetViews>
    <sheetView workbookViewId="0">
      <selection activeCell="B31" sqref="A12:B31"/>
    </sheetView>
  </sheetViews>
  <sheetFormatPr defaultColWidth="9.140625" defaultRowHeight="15"/>
  <cols>
    <col min="1" max="1" width="27.28515625" style="5" customWidth="1"/>
    <col min="2" max="2" width="40.7109375" style="5" customWidth="1"/>
    <col min="3" max="3" width="24.42578125" style="5" customWidth="1"/>
    <col min="4" max="16384" width="9.140625" style="5"/>
  </cols>
  <sheetData>
    <row r="1" spans="1:52" ht="20.25" thickBot="1">
      <c r="A1" s="96" t="s">
        <v>294</v>
      </c>
    </row>
    <row r="2" spans="1:52" ht="15.75" thickTop="1">
      <c r="A2" s="38" t="s">
        <v>20</v>
      </c>
    </row>
    <row r="3" spans="1:52">
      <c r="A3" s="97" t="s">
        <v>239</v>
      </c>
    </row>
    <row r="4" spans="1:52" ht="30">
      <c r="A4" s="117" t="s">
        <v>184</v>
      </c>
      <c r="B4" s="117" t="s">
        <v>295</v>
      </c>
      <c r="C4" s="118" t="s">
        <v>296</v>
      </c>
    </row>
    <row r="5" spans="1:52">
      <c r="A5" s="43" t="s">
        <v>297</v>
      </c>
      <c r="B5" s="43" t="str">
        <f>'Parameter Values'!B220</f>
        <v>Ages 20-74</v>
      </c>
      <c r="C5" s="44">
        <f>'Parameter Values'!C220</f>
        <v>8.06</v>
      </c>
    </row>
    <row r="6" spans="1:52">
      <c r="A6" s="43" t="s">
        <v>298</v>
      </c>
      <c r="B6" s="43" t="str">
        <f>'Parameter Values'!B221</f>
        <v>Ages 20-64</v>
      </c>
      <c r="C6" s="44">
        <f>'Parameter Values'!C221</f>
        <v>7.18</v>
      </c>
    </row>
    <row r="7" spans="1:52">
      <c r="A7" s="151"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7" s="151"/>
      <c r="C7" s="151"/>
      <c r="D7" s="151"/>
      <c r="E7" s="151"/>
      <c r="F7" s="151"/>
      <c r="G7" s="151"/>
      <c r="H7" s="151"/>
      <c r="I7" s="151"/>
      <c r="J7" s="151"/>
      <c r="K7" s="151"/>
      <c r="L7" s="151"/>
      <c r="M7" s="151"/>
      <c r="N7" s="151"/>
      <c r="O7" s="151"/>
      <c r="P7" s="151"/>
      <c r="Q7" s="151"/>
      <c r="R7" s="151"/>
      <c r="S7" s="151"/>
      <c r="T7" s="151"/>
      <c r="U7" s="151"/>
      <c r="V7" s="151"/>
      <c r="W7" s="151"/>
    </row>
    <row r="8" spans="1:52">
      <c r="A8" s="151"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row>
    <row r="9" spans="1:52">
      <c r="A9" s="38" t="s">
        <v>20</v>
      </c>
    </row>
    <row r="10" spans="1:52" ht="15.75" thickBot="1">
      <c r="A10" s="97" t="s">
        <v>299</v>
      </c>
    </row>
    <row r="11" spans="1:52">
      <c r="A11" s="107" t="s">
        <v>222</v>
      </c>
      <c r="B11" s="108" t="s">
        <v>294</v>
      </c>
      <c r="E11" s="10" t="s">
        <v>221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c r="A12" s="6">
        <f>'Project Information'!$B$8</f>
        <v>2032</v>
      </c>
      <c r="B12" s="161">
        <f>(C$5*(0.68*'Population and Mode Share Proj.'!R35))</f>
        <v>39361.458796481187</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2033</v>
      </c>
      <c r="B13" s="161">
        <f>(C$5*(0.68*'Population and Mode Share Proj.'!R36))</f>
        <v>41807.901093777218</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2034</v>
      </c>
      <c r="B14" s="161">
        <f>(C$5*(0.68*'Population and Mode Share Proj.'!R37))</f>
        <v>44502.84255311999</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2035</v>
      </c>
      <c r="B15" s="161">
        <f>(C$5*(0.68*'Population and Mode Share Proj.'!R38))</f>
        <v>47489.06203463742</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2036</v>
      </c>
      <c r="B16" s="161">
        <f>(C$5*(0.68*'Population and Mode Share Proj.'!R39))</f>
        <v>50820.002895747974</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2037</v>
      </c>
      <c r="B17" s="161">
        <f>(C$5*(0.68*'Population and Mode Share Proj.'!R40))</f>
        <v>54563.327122116178</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2038</v>
      </c>
      <c r="B18" s="161">
        <f>(C$5*(0.68*'Population and Mode Share Proj.'!R41))</f>
        <v>58805.992642916914</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2039</v>
      </c>
      <c r="B19" s="161">
        <f>(C$5*(0.68*'Population and Mode Share Proj.'!R42))</f>
        <v>63661.674006294124</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2040</v>
      </c>
      <c r="B20" s="161">
        <f>(C$5*(0.68*'Population and Mode Share Proj.'!R43))</f>
        <v>69281.89337480886</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2041</v>
      </c>
      <c r="B21" s="161">
        <f>(C$5*(0.68*'Population and Mode Share Proj.'!R44))</f>
        <v>75873.222953239601</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2042</v>
      </c>
      <c r="B22" s="161">
        <f>(C$5*(0.68*'Population and Mode Share Proj.'!R45))</f>
        <v>83724.808851010835</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2043</v>
      </c>
      <c r="B23" s="161">
        <f>(C$5*(0.68*'Population and Mode Share Proj.'!R46))</f>
        <v>93254.244161251307</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2044</v>
      </c>
      <c r="B24" s="161">
        <f>(C$5*(0.68*'Population and Mode Share Proj.'!R47))</f>
        <v>105087.84682056939</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2045</v>
      </c>
      <c r="B25" s="161">
        <f>(C$5*(0.68*'Population and Mode Share Proj.'!R48))</f>
        <v>120209.74702964613</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2046</v>
      </c>
      <c r="B26" s="161">
        <f>(C$5*(0.68*'Population and Mode Share Proj.'!R49))</f>
        <v>140260.06205489929</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2047</v>
      </c>
      <c r="B27" s="161">
        <f>(C$5*(0.68*'Population and Mode Share Proj.'!R50))</f>
        <v>168190.88074386824</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Information'!B$10,A27+1,"")</f>
        <v>2048</v>
      </c>
      <c r="B28" s="161">
        <f>(C$5*(0.68*'Population and Mode Share Proj.'!R51))</f>
        <v>209906.2247522395</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Information'!B$10,A28+1,"")</f>
        <v>2049</v>
      </c>
      <c r="B29" s="161">
        <f>(C$5*(0.68*'Population and Mode Share Proj.'!R52))</f>
        <v>279181.93214151484</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Information'!B$10,A29+1,"")</f>
        <v>2050</v>
      </c>
      <c r="B30" s="161">
        <f>(C$5*(0.68*'Population and Mode Share Proj.'!R53))</f>
        <v>417345.1916423674</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Information'!B$10,A30+1,"")</f>
        <v>2051</v>
      </c>
      <c r="B31" s="161">
        <f>(C$5*(0.68*'Population and Mode Share Proj.'!R54))</f>
        <v>831031.28223878064</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t="str">
        <f>IF(A33&lt;'Project Information'!B$10,A33+1,"")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t="str">
        <f>IF(A34&lt;'Project Information'!B$10,A34+1,"")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t="str">
        <f>IF(A35&lt;'Project Information'!B$10,A35+1,"")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t="str">
        <f>IF(A36&lt;'Project Information'!B$10,A36+1,"")</f>
        <v/>
      </c>
      <c r="B37" s="161">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t="str">
        <f>IF(A37&lt;'Project Information'!B$10,A37+1,"")</f>
        <v/>
      </c>
      <c r="B38" s="161">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t="str">
        <f>IF(A38&lt;'Project Information'!B$10,A38+1,"")</f>
        <v/>
      </c>
      <c r="B39" s="161">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t="str">
        <f>IF(A39&lt;'Project Information'!B$10,A39+1,"")</f>
        <v/>
      </c>
      <c r="B40" s="161">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2" t="str">
        <f>IF(A40&lt;'Project Information'!B$10,A40+1,"")</f>
        <v/>
      </c>
      <c r="B41" s="119">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6" priority="1">
      <formula>A12=""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97"/>
  <sheetViews>
    <sheetView zoomScaleNormal="100" workbookViewId="0">
      <selection activeCell="D7" sqref="D7"/>
    </sheetView>
  </sheetViews>
  <sheetFormatPr defaultColWidth="9.140625" defaultRowHeight="15"/>
  <cols>
    <col min="1" max="1" width="33.5703125" style="5" customWidth="1"/>
    <col min="2" max="2" width="30" style="5" customWidth="1"/>
    <col min="3" max="3" width="21.85546875" style="5" customWidth="1"/>
    <col min="4" max="4" width="17.85546875" style="5" customWidth="1"/>
    <col min="5" max="16384" width="9.140625" style="5"/>
  </cols>
  <sheetData>
    <row r="1" spans="1:8" ht="20.25" thickBot="1">
      <c r="A1" s="96" t="s">
        <v>300</v>
      </c>
    </row>
    <row r="2" spans="1:8" ht="15.75" thickTop="1">
      <c r="A2" s="151" t="s">
        <v>238</v>
      </c>
      <c r="B2" s="151"/>
      <c r="C2" s="151"/>
      <c r="D2" s="151"/>
      <c r="E2" s="151"/>
      <c r="F2" s="151"/>
      <c r="G2" s="151"/>
      <c r="H2" s="151"/>
    </row>
    <row r="3" spans="1:8">
      <c r="A3" s="5" t="s">
        <v>20</v>
      </c>
    </row>
    <row r="4" spans="1:8">
      <c r="A4" s="97" t="s">
        <v>301</v>
      </c>
    </row>
    <row r="5" spans="1:8">
      <c r="A5" s="117" t="s">
        <v>302</v>
      </c>
      <c r="B5" s="107" t="s">
        <v>303</v>
      </c>
      <c r="C5" s="107" t="s">
        <v>304</v>
      </c>
      <c r="D5" s="107" t="s">
        <v>300</v>
      </c>
    </row>
    <row r="6" spans="1:8">
      <c r="A6" s="153" t="s">
        <v>790</v>
      </c>
      <c r="B6" s="165">
        <f>(SUM('Capital Costs'!C8:C22)+'Capital Costs'!A4)*0.88</f>
        <v>5207722.3117914386</v>
      </c>
      <c r="C6" s="23">
        <v>50</v>
      </c>
      <c r="D6" s="105">
        <f>IF(C6&gt;'Project Information'!$B$9,IFERROR(B6*((C6-'Project Information'!$B$9)/C6),0),0)</f>
        <v>3124633.3870748631</v>
      </c>
    </row>
    <row r="7" spans="1:8">
      <c r="A7" s="153" t="s">
        <v>789</v>
      </c>
      <c r="B7" s="160">
        <f>(SUM('Capital Costs'!C8:C22)+'Capital Costs'!A4)*0.12</f>
        <v>710143.95160792337</v>
      </c>
      <c r="C7" s="23">
        <v>20</v>
      </c>
      <c r="D7" s="105">
        <f>IF(C7&gt;'Project Information'!$B$9,IFERROR(B7*((C7-'Project Information'!$B$9)/C7),0),0)</f>
        <v>0</v>
      </c>
    </row>
    <row r="8" spans="1:8">
      <c r="A8" s="153" t="s">
        <v>305</v>
      </c>
      <c r="B8" s="160">
        <v>0</v>
      </c>
      <c r="C8" s="23">
        <v>0</v>
      </c>
      <c r="D8" s="105">
        <f>IF(C8&gt;'Project Information'!$B$9,IFERROR(B8*((C8-'Project Information'!$B$9)/C8),0),0)</f>
        <v>0</v>
      </c>
    </row>
    <row r="9" spans="1:8">
      <c r="A9" s="153" t="s">
        <v>305</v>
      </c>
      <c r="B9" s="160">
        <v>0</v>
      </c>
      <c r="C9" s="23">
        <v>0</v>
      </c>
      <c r="D9" s="105">
        <f>IF(C9&gt;'Project Information'!$B$9,IFERROR(B9*((C9-'Project Information'!$B$9)/C9),0),0)</f>
        <v>0</v>
      </c>
    </row>
    <row r="10" spans="1:8">
      <c r="A10" s="153" t="s">
        <v>305</v>
      </c>
      <c r="B10" s="160">
        <v>0</v>
      </c>
      <c r="C10" s="23">
        <v>0</v>
      </c>
      <c r="D10" s="105">
        <f>IF(C10&gt;'Project Information'!$B$9,IFERROR(B10*((C10-'Project Information'!$B$9)/C10),0),0)</f>
        <v>0</v>
      </c>
    </row>
    <row r="11" spans="1:8">
      <c r="A11" s="153" t="s">
        <v>305</v>
      </c>
      <c r="B11" s="160">
        <v>0</v>
      </c>
      <c r="C11" s="23">
        <v>0</v>
      </c>
      <c r="D11" s="105">
        <f>IF(C11&gt;'Project Information'!$B$9,IFERROR(B11*((C11-'Project Information'!$B$9)/C11),0),0)</f>
        <v>0</v>
      </c>
    </row>
    <row r="12" spans="1:8">
      <c r="A12" s="3" t="s">
        <v>306</v>
      </c>
      <c r="B12" s="155"/>
      <c r="C12" s="156"/>
      <c r="D12" s="105">
        <f>SUM(D6:D11)</f>
        <v>3124633.3870748631</v>
      </c>
    </row>
    <row r="13" spans="1:8">
      <c r="A13" s="5" t="s">
        <v>20</v>
      </c>
    </row>
    <row r="14" spans="1:8">
      <c r="A14" s="152" t="s">
        <v>307</v>
      </c>
      <c r="B14" s="152"/>
      <c r="C14" s="152"/>
      <c r="D14" s="152"/>
      <c r="E14" s="152"/>
      <c r="F14" s="152"/>
      <c r="G14" s="152"/>
    </row>
    <row r="15" spans="1:8">
      <c r="A15" s="152" t="s">
        <v>308</v>
      </c>
      <c r="B15" s="152"/>
      <c r="C15" s="152"/>
      <c r="D15" s="152"/>
    </row>
    <row r="16" spans="1:8" ht="15.75" thickBot="1">
      <c r="A16" s="97" t="s">
        <v>309</v>
      </c>
    </row>
    <row r="17" spans="1:52">
      <c r="A17" s="107" t="s">
        <v>222</v>
      </c>
      <c r="B17" s="108" t="s">
        <v>300</v>
      </c>
      <c r="E17" s="10" t="s">
        <v>221</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2"/>
    </row>
    <row r="18" spans="1:52">
      <c r="A18" s="6">
        <f>'Project Information'!$B$8</f>
        <v>2032</v>
      </c>
      <c r="B18" s="26">
        <f>IF(A18='Project Information'!$B$5+'Project Information'!$B$7+'Project Information'!$B$9+('Project Information'!$B$6-'Project Information'!$B$5-1),$D$12,0)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2033</v>
      </c>
      <c r="B19" s="26">
        <f>IF(A19='Project Information'!$B$5+'Project Information'!$B$7+'Project Information'!$B$9+('Project Information'!$B$6-'Project Information'!$B$5-1),$D$12,0)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2034</v>
      </c>
      <c r="B20" s="26">
        <f>IF(A20='Project Information'!$B$5+'Project Information'!$B$7+'Project Information'!$B$9+('Project Information'!$B$6-'Project Information'!$B$5-1),$D$12,0)</f>
        <v>0</v>
      </c>
      <c r="E20" s="13"/>
      <c r="F20" s="5" t="s">
        <v>786</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2035</v>
      </c>
      <c r="B21" s="26">
        <f>IF(A21='Project Information'!$B$5+'Project Information'!$B$7+'Project Information'!$B$9+('Project Information'!$B$6-'Project Information'!$B$5-1),$D$12,0)</f>
        <v>0</v>
      </c>
      <c r="E21" s="13"/>
      <c r="F21" s="5" t="s">
        <v>787</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2036</v>
      </c>
      <c r="B22" s="26">
        <f>IF(A22='Project Information'!$B$5+'Project Information'!$B$7+'Project Information'!$B$9+('Project Information'!$B$6-'Project Information'!$B$5-1),$D$12,0)</f>
        <v>0</v>
      </c>
      <c r="E22" s="13"/>
      <c r="F22" s="5" t="s">
        <v>788</v>
      </c>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2037</v>
      </c>
      <c r="B23" s="26">
        <f>IF(A23='Project Information'!$B$5+'Project Information'!$B$7+'Project Information'!$B$9+('Project Information'!$B$6-'Project Information'!$B$5-1),$D$12,0)</f>
        <v>0</v>
      </c>
      <c r="E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2038</v>
      </c>
      <c r="B24" s="26">
        <f>IF(A24='Project Information'!$B$5+'Project Information'!$B$7+'Project Information'!$B$9+('Project Information'!$B$6-'Project Information'!$B$5-1),$D$12,0)</f>
        <v>0</v>
      </c>
      <c r="E24" s="13"/>
      <c r="G24" s="5" t="s">
        <v>784</v>
      </c>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2039</v>
      </c>
      <c r="B25" s="26">
        <f>IF(A25='Project Information'!$B$5+'Project Information'!$B$7+'Project Information'!$B$9+('Project Information'!$B$6-'Project Information'!$B$5-1),$D$12,0)</f>
        <v>0</v>
      </c>
      <c r="E25" s="13"/>
      <c r="G25" s="5" t="s">
        <v>785</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2040</v>
      </c>
      <c r="B26" s="26">
        <f>IF(A26='Project Information'!$B$5+'Project Information'!$B$7+'Project Information'!$B$9+('Project Information'!$B$6-'Project Information'!$B$5-1),$D$12,0)</f>
        <v>0</v>
      </c>
      <c r="E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2041</v>
      </c>
      <c r="B27" s="26">
        <f>IF(A27='Project Information'!$B$5+'Project Information'!$B$7+'Project Information'!$B$9+('Project Information'!$B$6-'Project Information'!$B$5-1),$D$12,0)</f>
        <v>0</v>
      </c>
      <c r="E27" s="13"/>
      <c r="F27" s="5" t="s">
        <v>814</v>
      </c>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Information'!B$10,A27+1,"")</f>
        <v>2042</v>
      </c>
      <c r="B28" s="26">
        <f>IF(A28='Project Information'!$B$5+'Project Information'!$B$7+'Project Information'!$B$9+('Project Information'!$B$6-'Project Information'!$B$5-1),$D$12,0)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Information'!B$10,A28+1,"")</f>
        <v>2043</v>
      </c>
      <c r="B29" s="26">
        <f>IF(A29='Project Information'!$B$5+'Project Information'!$B$7+'Project Information'!$B$9+('Project Information'!$B$6-'Project Information'!$B$5-1),$D$12,0)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Information'!B$10,A29+1,"")</f>
        <v>2044</v>
      </c>
      <c r="B30" s="26">
        <f>IF(A30='Project Information'!$B$5+'Project Information'!$B$7+'Project Information'!$B$9+('Project Information'!$B$6-'Project Information'!$B$5-1),$D$12,0)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Information'!B$10,A30+1,"")</f>
        <v>2045</v>
      </c>
      <c r="B31" s="26">
        <f>IF(A31='Project Information'!$B$5+'Project Information'!$B$7+'Project Information'!$B$9+('Project Information'!$B$6-'Project Information'!$B$5-1),$D$12,0)</f>
        <v>0</v>
      </c>
      <c r="E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Information'!B$10,A31+1,"")</f>
        <v>2046</v>
      </c>
      <c r="B32" s="26">
        <f>IF(A32='Project Information'!$B$5+'Project Information'!$B$7+'Project Information'!$B$9+('Project Information'!$B$6-'Project Information'!$B$5-1),$D$12,0)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Information'!B$10,A32+1,"")</f>
        <v>2047</v>
      </c>
      <c r="B33" s="26">
        <f>IF(A33='Project Information'!$B$5+'Project Information'!$B$7+'Project Information'!$B$9+('Project Information'!$B$6-'Project Information'!$B$5-1),$D$12,0)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Information'!B$10,A33+1,"")</f>
        <v>2048</v>
      </c>
      <c r="B34" s="26">
        <f>IF(A34='Project Information'!$B$5+'Project Information'!$B$7+'Project Information'!$B$9+('Project Information'!$B$6-'Project Information'!$B$5-1),$D$12,0)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Information'!B$10,A34+1,"")</f>
        <v>2049</v>
      </c>
      <c r="B35" s="26">
        <f>IF(A35='Project Information'!$B$5+'Project Information'!$B$7+'Project Information'!$B$9+('Project Information'!$B$6-'Project Information'!$B$5-1),$D$12,0)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Information'!B$10,A35+1,"")</f>
        <v>2050</v>
      </c>
      <c r="B36" s="26">
        <f>IF(A36='Project Information'!$B$5+'Project Information'!$B$7+'Project Information'!$B$9+('Project Information'!$B$6-'Project Information'!$B$5-1),$D$12,0)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f>IF(A36&lt;'Project Information'!B$10,A36+1,"")</f>
        <v>2051</v>
      </c>
      <c r="B37" s="26">
        <f>IF(A37='Project Information'!$B$5+'Project Information'!$B$7+'Project Information'!$B$9+('Project Information'!$B$6-'Project Information'!$B$5-1),$D$12,0)</f>
        <v>3124633.3870748631</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t="str">
        <f>IF(A37&lt;'Project Information'!B$10,A37+1,"")</f>
        <v/>
      </c>
      <c r="B38" s="26">
        <f>IF(A38='Project Information'!$B$5+'Project Information'!$B$7+'Project Information'!$B$9+('Project Information'!$B$6-'Project Information'!$B$5-1),$D$12,0)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t="str">
        <f>IF(A38&lt;'Project Information'!B$10,A38+1,"")</f>
        <v/>
      </c>
      <c r="B39" s="26">
        <f>IF(A39='Project Information'!$B$5+'Project Information'!$B$7+'Project Information'!$B$9+('Project Information'!$B$6-'Project Information'!$B$5-1),$D$12,0)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t="str">
        <f>IF(A39&lt;'Project Information'!B$10,A39+1,"")</f>
        <v/>
      </c>
      <c r="B40" s="26">
        <f>IF(A40='Project Information'!$B$5+'Project Information'!$B$7+'Project Information'!$B$9+('Project Information'!$B$6-'Project Information'!$B$5-1),$D$12,0)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1" t="str">
        <f>IF(A40&lt;'Project Information'!B$10,A40+1,"")</f>
        <v/>
      </c>
      <c r="B41" s="26">
        <f>IF(A41='Project Information'!$B$5+'Project Information'!$B$7+'Project Information'!$B$9+('Project Information'!$B$6-'Project Information'!$B$5-1),$D$12,0)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A42" s="1" t="str">
        <f>IF(A41&lt;'Project Information'!B$10,A41+1,"")</f>
        <v/>
      </c>
      <c r="B42" s="26">
        <f>IF(A42='Project Information'!$B$5+'Project Information'!$B$7+'Project Information'!$B$9+('Project Information'!$B$6-'Project Information'!$B$5-1),$D$12,0)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A43" s="1" t="str">
        <f>IF(A42&lt;'Project Information'!B$10,A42+1,"")</f>
        <v/>
      </c>
      <c r="B43" s="26">
        <f>IF(A43='Project Information'!$B$5+'Project Information'!$B$7+'Project Information'!$B$9+('Project Information'!$B$6-'Project Information'!$B$5-1),$D$12,0)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A44" s="1" t="str">
        <f>IF(A43&lt;'Project Information'!B$10,A43+1,"")</f>
        <v/>
      </c>
      <c r="B44" s="26">
        <f>IF(A44='Project Information'!$B$5+'Project Information'!$B$7+'Project Information'!$B$9+('Project Information'!$B$6-'Project Information'!$B$5-1),$D$12,0)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A45" s="1" t="str">
        <f>IF(A44&lt;'Project Information'!B$10,A44+1,"")</f>
        <v/>
      </c>
      <c r="B45" s="26">
        <f>IF(A45='Project Information'!$B$5+'Project Information'!$B$7+'Project Information'!$B$9+('Project Information'!$B$6-'Project Information'!$B$5-1),$D$12,0)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A46" s="1" t="str">
        <f>IF(A45&lt;'Project Information'!B$10,A45+1,"")</f>
        <v/>
      </c>
      <c r="B46" s="26">
        <f>IF(A46='Project Information'!$B$5+'Project Information'!$B$7+'Project Information'!$B$9+('Project Information'!$B$6-'Project Information'!$B$5-1),$D$12,0)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A47" s="2" t="str">
        <f>IF(A46&lt;'Project Information'!B$10,A46+1,"")</f>
        <v/>
      </c>
      <c r="B47" s="162">
        <f>IF(A47='Project Information'!$B$5+'Project Information'!$B$7+'Project Information'!$B$9+('Project Information'!$B$6-'Project Information'!$B$5-1),$D$12,0)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ht="15.75" thickBot="1">
      <c r="E97" s="15"/>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A18='Project Information'!$B$10</xm:f>
            <x14:dxf>
              <font>
                <b val="0"/>
                <i/>
                <u val="none"/>
              </font>
              <fill>
                <patternFill>
                  <bgColor theme="4" tint="0.39994506668294322"/>
                </patternFill>
              </fill>
            </x14:dxf>
          </x14:cfRule>
          <xm:sqref>B18:B47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workbookViewId="0">
      <selection activeCell="A5" sqref="A5"/>
    </sheetView>
  </sheetViews>
  <sheetFormatPr defaultColWidth="9.140625" defaultRowHeight="15"/>
  <cols>
    <col min="1" max="1" width="26.140625" style="5" customWidth="1"/>
    <col min="2" max="2" width="40.7109375" style="5" customWidth="1"/>
    <col min="3" max="16384" width="9.140625" style="5"/>
  </cols>
  <sheetData>
    <row r="1" spans="1:52" ht="20.25" thickBot="1">
      <c r="A1" s="96" t="s">
        <v>310</v>
      </c>
    </row>
    <row r="2" spans="1:52" ht="15.75" thickTop="1">
      <c r="A2" s="151" t="s">
        <v>311</v>
      </c>
      <c r="B2" s="151"/>
      <c r="C2" s="151"/>
      <c r="D2" s="151"/>
    </row>
    <row r="3" spans="1:52">
      <c r="A3" s="5" t="s">
        <v>20</v>
      </c>
    </row>
    <row r="4" spans="1:52">
      <c r="A4" s="152" t="s">
        <v>232</v>
      </c>
      <c r="B4" s="151"/>
      <c r="C4" s="151"/>
      <c r="D4" s="151"/>
      <c r="E4" s="151"/>
      <c r="F4" s="151"/>
      <c r="G4" s="151"/>
      <c r="H4" s="151"/>
      <c r="I4" s="151"/>
      <c r="J4" s="151"/>
      <c r="K4" s="151"/>
      <c r="L4" s="151"/>
      <c r="M4" s="151"/>
    </row>
    <row r="5" spans="1:52">
      <c r="A5" s="5" t="s">
        <v>20</v>
      </c>
    </row>
    <row r="6" spans="1:52" ht="15.75" thickBot="1">
      <c r="A6" s="97" t="s">
        <v>312</v>
      </c>
    </row>
    <row r="7" spans="1:52">
      <c r="A7" s="107" t="s">
        <v>222</v>
      </c>
      <c r="B7" s="24" t="s">
        <v>310</v>
      </c>
      <c r="C7" s="5" t="s">
        <v>313</v>
      </c>
      <c r="E7" s="10" t="s">
        <v>221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c r="A8" s="6">
        <f>'Project Information'!$B$8</f>
        <v>2032</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IF(A8&lt;'Project Information'!B$10,A8+1,"")</f>
        <v>2033</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IF(A9&lt;'Project Information'!B$10,A9+1,"")</f>
        <v>2034</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Information'!B$10,A10+1,"")</f>
        <v>2035</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Information'!B$10,A11+1,"")</f>
        <v>2036</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2037</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2038</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2039</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2040</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2041</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2042</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2043</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2044</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2045</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2046</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2047</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2048</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2049</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2050</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2051</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t="str">
        <f>IF(A27&lt;'Project Information'!B$10,A27+1,"")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t="str">
        <f>IF(A28&lt;'Project Information'!B$10,A28+1,"")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t="str">
        <f>IF(A29&lt;'Project Information'!B$10,A29+1,"")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t="str">
        <f>IF(A30&lt;'Project Information'!B$10,A30+1,"")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t="str">
        <f>IF(A33&lt;'Project Information'!B$10,A33+1,"")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t="str">
        <f>IF(A34&lt;'Project Information'!B$10,A34+1,"")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t="str">
        <f>IF(A35&lt;'Project Information'!B$10,A35+1,"")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t="str">
        <f>IF(A36&lt;'Project Information'!B$10,A36+1,"")</f>
        <v/>
      </c>
      <c r="B37" s="119">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C5" sqref="C5"/>
    </sheetView>
  </sheetViews>
  <sheetFormatPr defaultColWidth="9.140625" defaultRowHeight="15"/>
  <cols>
    <col min="1" max="1" width="26" style="5" customWidth="1"/>
    <col min="2" max="2" width="40.7109375" style="5" customWidth="1"/>
    <col min="3" max="16384" width="9.140625" style="5"/>
  </cols>
  <sheetData>
    <row r="1" spans="1:52" ht="20.25" thickBot="1">
      <c r="A1" s="96" t="s">
        <v>314</v>
      </c>
    </row>
    <row r="2" spans="1:52" ht="15.75" thickTop="1">
      <c r="A2" s="151" t="s">
        <v>311</v>
      </c>
      <c r="B2" s="151"/>
      <c r="C2" s="151"/>
    </row>
    <row r="3" spans="1:52">
      <c r="A3" s="5" t="s">
        <v>20</v>
      </c>
    </row>
    <row r="4" spans="1:52">
      <c r="A4" s="152" t="s">
        <v>232</v>
      </c>
      <c r="B4" s="151"/>
      <c r="C4" s="151"/>
      <c r="D4" s="151"/>
      <c r="E4" s="151"/>
      <c r="F4" s="151"/>
      <c r="G4" s="151"/>
      <c r="H4" s="151"/>
      <c r="I4" s="151"/>
      <c r="J4" s="151"/>
      <c r="K4" s="151"/>
      <c r="L4" s="151"/>
    </row>
    <row r="5" spans="1:52">
      <c r="A5" s="5" t="s">
        <v>20</v>
      </c>
    </row>
    <row r="6" spans="1:52" ht="15.75" thickBot="1">
      <c r="A6" s="97" t="s">
        <v>312</v>
      </c>
    </row>
    <row r="7" spans="1:52">
      <c r="A7" s="107" t="s">
        <v>222</v>
      </c>
      <c r="B7" s="24" t="s">
        <v>314</v>
      </c>
      <c r="C7" s="5" t="s">
        <v>313</v>
      </c>
      <c r="E7" s="10" t="s">
        <v>221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c r="A8" s="6">
        <f>'Project Information'!$B$8</f>
        <v>2032</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IF(A8&lt;'Project Information'!B$10,A8+1,"")</f>
        <v>2033</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IF(A9&lt;'Project Information'!B$10,A9+1,"")</f>
        <v>2034</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Information'!B$10,A10+1,"")</f>
        <v>2035</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Information'!B$10,A11+1,"")</f>
        <v>2036</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2037</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2038</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2039</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2040</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2041</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2042</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2043</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2044</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2045</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2046</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2047</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2048</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2049</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2050</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2051</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t="str">
        <f>IF(A27&lt;'Project Information'!B$10,A27+1,"")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t="str">
        <f>IF(A28&lt;'Project Information'!B$10,A28+1,"")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t="str">
        <f>IF(A29&lt;'Project Information'!B$10,A29+1,"")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t="str">
        <f>IF(A30&lt;'Project Information'!B$10,A30+1,"")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t="str">
        <f>IF(A33&lt;'Project Information'!B$10,A33+1,"")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t="str">
        <f>IF(A34&lt;'Project Information'!B$10,A34+1,"")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t="str">
        <f>IF(A35&lt;'Project Information'!B$10,A35+1,"")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t="str">
        <f>IF(A36&lt;'Project Information'!B$10,A36+1,"")</f>
        <v/>
      </c>
      <c r="B37" s="119">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B33" sqref="B33"/>
    </sheetView>
  </sheetViews>
  <sheetFormatPr defaultColWidth="9.140625" defaultRowHeight="15"/>
  <cols>
    <col min="1" max="1" width="25.85546875" style="5" customWidth="1"/>
    <col min="2" max="2" width="40.7109375" style="5" customWidth="1"/>
    <col min="3" max="16384" width="9.140625" style="5"/>
  </cols>
  <sheetData>
    <row r="1" spans="1:52" ht="20.25" thickBot="1">
      <c r="A1" s="96" t="s">
        <v>315</v>
      </c>
    </row>
    <row r="2" spans="1:52" ht="15.75" thickTop="1">
      <c r="A2" s="151" t="s">
        <v>311</v>
      </c>
      <c r="B2" s="151"/>
      <c r="C2" s="151"/>
    </row>
    <row r="3" spans="1:52">
      <c r="A3" s="5" t="s">
        <v>20</v>
      </c>
    </row>
    <row r="4" spans="1:52">
      <c r="A4" s="152" t="s">
        <v>232</v>
      </c>
      <c r="B4" s="151"/>
      <c r="C4" s="151"/>
      <c r="D4" s="151"/>
      <c r="E4" s="151"/>
      <c r="F4" s="151"/>
      <c r="G4" s="151"/>
      <c r="H4" s="151"/>
      <c r="I4" s="151"/>
      <c r="J4" s="151"/>
      <c r="K4" s="151"/>
      <c r="L4" s="151"/>
    </row>
    <row r="5" spans="1:52">
      <c r="A5" s="5" t="s">
        <v>20</v>
      </c>
    </row>
    <row r="6" spans="1:52" ht="15.75" thickBot="1">
      <c r="A6" s="97" t="s">
        <v>312</v>
      </c>
    </row>
    <row r="7" spans="1:52">
      <c r="A7" s="107" t="s">
        <v>222</v>
      </c>
      <c r="B7" s="24" t="s">
        <v>315</v>
      </c>
      <c r="C7" s="5" t="s">
        <v>313</v>
      </c>
      <c r="E7" s="10" t="s">
        <v>221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c r="A8" s="6">
        <f>'Project Information'!$B$8</f>
        <v>2032</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IF(A8&lt;'Project Information'!B$10,A8+1,"")</f>
        <v>2033</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IF(A9&lt;'Project Information'!B$10,A9+1,"")</f>
        <v>2034</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Information'!B$10,A10+1,"")</f>
        <v>2035</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Information'!B$10,A11+1,"")</f>
        <v>2036</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2037</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2038</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2039</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2040</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2041</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2042</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2043</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2044</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2045</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2046</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2047</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2048</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2049</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2050</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2051</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t="str">
        <f>IF(A27&lt;'Project Information'!B$10,A27+1,"")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t="str">
        <f>IF(A28&lt;'Project Information'!B$10,A28+1,"")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t="str">
        <f>IF(A29&lt;'Project Information'!B$10,A29+1,"")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t="str">
        <f>IF(A30&lt;'Project Information'!B$10,A30+1,"")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t="str">
        <f>IF(A33&lt;'Project Information'!B$10,A33+1,"")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t="str">
        <f>IF(A34&lt;'Project Information'!B$10,A34+1,"")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t="str">
        <f>IF(A35&lt;'Project Information'!B$10,A35+1,"")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t="str">
        <f>IF(A36&lt;'Project Information'!B$10,A36+1,"")</f>
        <v/>
      </c>
      <c r="B37" s="119">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A9" sqref="A9"/>
    </sheetView>
  </sheetViews>
  <sheetFormatPr defaultColWidth="9.140625" defaultRowHeight="15"/>
  <cols>
    <col min="1" max="1" width="40.85546875" style="5" customWidth="1"/>
    <col min="2" max="2" width="40.7109375" style="5" customWidth="1"/>
    <col min="3" max="16384" width="9.140625" style="5"/>
  </cols>
  <sheetData>
    <row r="1" spans="1:52" ht="20.25" thickBot="1">
      <c r="A1" s="96" t="s">
        <v>316</v>
      </c>
    </row>
    <row r="2" spans="1:52" ht="15.75" thickTop="1">
      <c r="A2" s="151" t="s">
        <v>317</v>
      </c>
      <c r="B2" s="151"/>
      <c r="C2" s="151"/>
      <c r="D2" s="151"/>
      <c r="E2" s="151"/>
      <c r="F2" s="151"/>
      <c r="G2" s="151"/>
    </row>
    <row r="3" spans="1:52">
      <c r="A3" s="151" t="s">
        <v>318</v>
      </c>
      <c r="B3" s="151"/>
      <c r="C3" s="151"/>
    </row>
    <row r="4" spans="1:52">
      <c r="A4" s="151" t="s">
        <v>319</v>
      </c>
      <c r="B4" s="151"/>
      <c r="C4" s="151"/>
      <c r="D4" s="151"/>
      <c r="E4" s="151"/>
      <c r="F4" s="151"/>
    </row>
    <row r="5" spans="1:52">
      <c r="A5" s="5" t="s">
        <v>20</v>
      </c>
    </row>
    <row r="6" spans="1:52">
      <c r="A6" s="151" t="s">
        <v>311</v>
      </c>
      <c r="B6" s="151"/>
    </row>
    <row r="7" spans="1:52">
      <c r="A7" s="5" t="s">
        <v>20</v>
      </c>
    </row>
    <row r="8" spans="1:52">
      <c r="A8" s="152" t="s">
        <v>232</v>
      </c>
      <c r="B8" s="151"/>
      <c r="C8" s="151"/>
      <c r="D8" s="151"/>
      <c r="E8" s="151"/>
      <c r="F8" s="151"/>
      <c r="G8" s="151"/>
      <c r="H8" s="151"/>
      <c r="I8" s="151"/>
      <c r="J8" s="151"/>
      <c r="K8" s="151"/>
    </row>
    <row r="9" spans="1:52">
      <c r="A9" s="38" t="s">
        <v>20</v>
      </c>
    </row>
    <row r="10" spans="1:52" ht="15.75" thickBot="1">
      <c r="A10" s="97" t="s">
        <v>312</v>
      </c>
    </row>
    <row r="11" spans="1:52">
      <c r="A11" s="109" t="s">
        <v>222</v>
      </c>
      <c r="B11" s="24" t="s">
        <v>316</v>
      </c>
      <c r="C11" s="5" t="s">
        <v>313</v>
      </c>
      <c r="E11" s="10" t="s">
        <v>221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c r="A12" s="6">
        <f>'Project Information'!$B$8</f>
        <v>2032</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Information'!B$10,A12+1,"")</f>
        <v>2033</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Information'!B$10,A13+1,"")</f>
        <v>2034</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Information'!B$10,A14+1,"")</f>
        <v>2035</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Information'!B$10,A15+1,"")</f>
        <v>2036</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Information'!B$10,A16+1,"")</f>
        <v>2037</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Information'!B$10,A17+1,"")</f>
        <v>2038</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Information'!B$10,A18+1,"")</f>
        <v>2039</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Information'!B$10,A19+1,"")</f>
        <v>2040</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Information'!B$10,A20+1,"")</f>
        <v>2041</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Information'!B$10,A21+1,"")</f>
        <v>2042</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Information'!B$10,A22+1,"")</f>
        <v>2043</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Information'!B$10,A23+1,"")</f>
        <v>2044</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Information'!B$10,A24+1,"")</f>
        <v>2045</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Information'!B$10,A25+1,"")</f>
        <v>2046</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Information'!B$10,A26+1,"")</f>
        <v>2047</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Information'!B$10,A27+1,"")</f>
        <v>2048</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Information'!B$10,A28+1,"")</f>
        <v>2049</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Information'!B$10,A29+1,"")</f>
        <v>2050</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Information'!B$10,A30+1,"")</f>
        <v>2051</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t="str">
        <f>IF(A31&lt;'Project Information'!B$10,A31+1,"")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t="str">
        <f>IF(A32&lt;'Project Information'!B$10,A32+1,"")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t="str">
        <f>IF(A33&lt;'Project Information'!B$10,A33+1,"")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t="str">
        <f>IF(A34&lt;'Project Information'!B$10,A34+1,"")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t="str">
        <f>IF(A35&lt;'Project Information'!B$10,A35+1,"")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t="str">
        <f>IF(A36&lt;'Project Information'!B$10,A36+1,"")</f>
        <v/>
      </c>
      <c r="B37" s="161">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t="str">
        <f>IF(A37&lt;'Project Information'!B$10,A37+1,"")</f>
        <v/>
      </c>
      <c r="B38" s="161">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t="str">
        <f>IF(A38&lt;'Project Information'!B$10,A38+1,"")</f>
        <v/>
      </c>
      <c r="B39" s="161">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t="str">
        <f>IF(A39&lt;'Project Information'!B$10,A39+1,"")</f>
        <v/>
      </c>
      <c r="B40" s="161">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2" t="str">
        <f>IF(A40&lt;'Project Information'!B$10,A40+1,"")</f>
        <v/>
      </c>
      <c r="B41" s="119">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zoomScale="130" zoomScaleNormal="130" workbookViewId="0">
      <selection activeCell="A8" sqref="A8"/>
    </sheetView>
  </sheetViews>
  <sheetFormatPr defaultColWidth="9.140625" defaultRowHeight="15"/>
  <cols>
    <col min="1" max="1" width="72.85546875" style="5" customWidth="1"/>
    <col min="2" max="2" width="11.28515625" style="5" bestFit="1" customWidth="1"/>
    <col min="3" max="16384" width="9.140625" style="5"/>
  </cols>
  <sheetData>
    <row r="1" spans="1:1" ht="20.25" thickBot="1">
      <c r="A1" s="45" t="s">
        <v>0</v>
      </c>
    </row>
    <row r="2" spans="1:1" ht="15.75" thickTop="1">
      <c r="A2" s="46" t="s">
        <v>1</v>
      </c>
    </row>
    <row r="3" spans="1:1" ht="18" thickBot="1">
      <c r="A3" s="48" t="s">
        <v>2</v>
      </c>
    </row>
    <row r="4" spans="1:1" ht="75.95" customHeight="1" thickTop="1">
      <c r="A4" s="50" t="s">
        <v>3</v>
      </c>
    </row>
    <row r="5" spans="1:1">
      <c r="A5" s="46" t="s">
        <v>4</v>
      </c>
    </row>
    <row r="6" spans="1:1" ht="18" thickBot="1">
      <c r="A6" s="47" t="s">
        <v>5</v>
      </c>
    </row>
    <row r="7" spans="1:1" ht="15.75" thickTop="1">
      <c r="A7" s="52" t="s">
        <v>6</v>
      </c>
    </row>
    <row r="8" spans="1:1">
      <c r="A8" s="52" t="s">
        <v>7</v>
      </c>
    </row>
    <row r="9" spans="1:1" ht="30">
      <c r="A9" s="51" t="s">
        <v>8</v>
      </c>
    </row>
    <row r="10" spans="1:1">
      <c r="A10" s="53" t="str">
        <f>HYPERLINK("https://www.transportation.gov/mission/office-secretary/office-policy/transportation-policy/benefit-cost-analysis-guidance", "See USDOT BCA Guidance for full details.")</f>
        <v>See USDOT BCA Guidance for full details.</v>
      </c>
    </row>
    <row r="11" spans="1:1">
      <c r="A11" s="46" t="s">
        <v>1</v>
      </c>
    </row>
    <row r="12" spans="1:1" ht="18" thickBot="1">
      <c r="A12" s="47" t="s">
        <v>9</v>
      </c>
    </row>
    <row r="13" spans="1:1" ht="15.75" thickTop="1">
      <c r="A13" s="54" t="s">
        <v>10</v>
      </c>
    </row>
    <row r="14" spans="1:1" ht="30">
      <c r="A14" s="163" t="s">
        <v>11</v>
      </c>
    </row>
    <row r="15" spans="1:1" ht="30">
      <c r="A15" s="164" t="s">
        <v>12</v>
      </c>
    </row>
    <row r="16" spans="1:1" ht="30">
      <c r="A16" s="166" t="s">
        <v>13</v>
      </c>
    </row>
    <row r="17" spans="1:2" ht="45">
      <c r="A17" s="49" t="s">
        <v>14</v>
      </c>
    </row>
    <row r="18" spans="1:2">
      <c r="A18" s="49" t="s">
        <v>15</v>
      </c>
    </row>
    <row r="19" spans="1:2" ht="45">
      <c r="A19" s="55" t="s">
        <v>16</v>
      </c>
    </row>
    <row r="22" spans="1:2">
      <c r="A22" s="6" t="s">
        <v>17</v>
      </c>
      <c r="B22" s="171">
        <v>2023</v>
      </c>
    </row>
    <row r="23" spans="1:2">
      <c r="A23" s="2" t="s">
        <v>18</v>
      </c>
      <c r="B23" s="172">
        <v>45614</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4"/>
  <sheetViews>
    <sheetView zoomScale="85" zoomScaleNormal="85" workbookViewId="0">
      <selection activeCell="J35" sqref="J35"/>
    </sheetView>
  </sheetViews>
  <sheetFormatPr defaultColWidth="9.140625" defaultRowHeight="1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21.14062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25" thickBot="1">
      <c r="A1" s="96" t="s">
        <v>320</v>
      </c>
    </row>
    <row r="2" spans="1:17" ht="15.75" thickTop="1">
      <c r="A2" s="5" t="s">
        <v>20</v>
      </c>
    </row>
    <row r="3" spans="1:17">
      <c r="A3" s="97" t="s">
        <v>321</v>
      </c>
    </row>
    <row r="4" spans="1:17">
      <c r="A4" s="110" t="s">
        <v>222</v>
      </c>
      <c r="B4" s="113" t="s">
        <v>322</v>
      </c>
      <c r="C4" s="113" t="s">
        <v>237</v>
      </c>
      <c r="D4" s="113" t="s">
        <v>244</v>
      </c>
      <c r="E4" s="113" t="s">
        <v>262</v>
      </c>
      <c r="F4" s="113" t="s">
        <v>323</v>
      </c>
      <c r="G4" s="113" t="s">
        <v>324</v>
      </c>
      <c r="H4" s="113" t="s">
        <v>325</v>
      </c>
      <c r="I4" s="113" t="s">
        <v>292</v>
      </c>
      <c r="J4" s="113" t="s">
        <v>294</v>
      </c>
      <c r="K4" s="113" t="s">
        <v>300</v>
      </c>
      <c r="L4" s="113" t="str">
        <f>'Other Benefit 1'!B7</f>
        <v>Other Benefit 1</v>
      </c>
      <c r="M4" s="113" t="str">
        <f>'Other Benefit 2'!B7</f>
        <v>Other Benefit 2</v>
      </c>
      <c r="N4" s="113" t="str">
        <f>'Other Benefit 3'!B7</f>
        <v>Other Benefit 3</v>
      </c>
      <c r="O4" s="113" t="str">
        <f>'Other Benefit 4'!B11</f>
        <v>Other Benefit 4</v>
      </c>
      <c r="P4" s="113" t="s">
        <v>326</v>
      </c>
      <c r="Q4" s="107" t="s">
        <v>327</v>
      </c>
    </row>
    <row r="5" spans="1:17">
      <c r="A5" s="6">
        <f>'Project Information'!$B$8</f>
        <v>2032</v>
      </c>
      <c r="B5" s="7">
        <f>'Operations and Maintenance'!D5</f>
        <v>5820</v>
      </c>
      <c r="C5" s="7">
        <f>Safety!D19</f>
        <v>3931207</v>
      </c>
      <c r="D5" s="7">
        <f>'Travel Time Savings'!D20</f>
        <v>0</v>
      </c>
      <c r="E5" s="7">
        <f>'Vehicle Operating Cost Savings'!D26</f>
        <v>0</v>
      </c>
      <c r="F5" s="21">
        <f>'Emissions Reduction'!S29</f>
        <v>28.565742513084842</v>
      </c>
      <c r="G5" s="21">
        <f>'Emissions Reduction'!T29</f>
        <v>253.28291694936343</v>
      </c>
      <c r="H5" s="21">
        <f>'Other Highway Use Externalities'!B20</f>
        <v>0</v>
      </c>
      <c r="I5" s="7">
        <f>'Amenity Benefits'!B5</f>
        <v>2618.3279544744864</v>
      </c>
      <c r="J5" s="7">
        <f>'Health Benefits'!B12</f>
        <v>39361.458796481187</v>
      </c>
      <c r="K5" s="7">
        <f>'Residual Value'!B18</f>
        <v>0</v>
      </c>
      <c r="L5" s="7">
        <f>'Other Benefit 1'!B8</f>
        <v>0</v>
      </c>
      <c r="M5" s="7">
        <f>'Other Benefit 2'!B8</f>
        <v>0</v>
      </c>
      <c r="N5" s="7">
        <f>'Other Benefit 3'!B8</f>
        <v>0</v>
      </c>
      <c r="O5" s="7">
        <f>'Other Benefit 4'!B12</f>
        <v>0</v>
      </c>
      <c r="P5" s="154">
        <f>SUM(C5:O5)-B5</f>
        <v>3967648.6354104178</v>
      </c>
      <c r="Q5" s="8">
        <f>IFERROR(((P5-G5)/(1.031)^(A5-Overview!$B$22))+((G5)/(1.02)^(A5-Overview!$B$22)),0)</f>
        <v>3014449.6032129857</v>
      </c>
    </row>
    <row r="6" spans="1:17">
      <c r="A6" s="1">
        <f>IF(A5&lt;'Project Information'!B$10,A5+1,"")</f>
        <v>2033</v>
      </c>
      <c r="B6" s="7">
        <f>'Operations and Maintenance'!D6</f>
        <v>5820</v>
      </c>
      <c r="C6" s="7">
        <f>Safety!D20</f>
        <v>3931207</v>
      </c>
      <c r="D6" s="7">
        <f>'Travel Time Savings'!D21</f>
        <v>0</v>
      </c>
      <c r="E6" s="7">
        <f>'Vehicle Operating Cost Savings'!D27</f>
        <v>0</v>
      </c>
      <c r="F6" s="21">
        <f>'Emissions Reduction'!S30</f>
        <v>30.354118868155638</v>
      </c>
      <c r="G6" s="21">
        <f>'Emissions Reduction'!T30</f>
        <v>269.1398539642687</v>
      </c>
      <c r="H6" s="21">
        <f>'Other Highway Use Externalities'!B21</f>
        <v>0</v>
      </c>
      <c r="I6" s="7">
        <f>'Amenity Benefits'!B6</f>
        <v>2781.0655270105844</v>
      </c>
      <c r="J6" s="7">
        <f>'Health Benefits'!B13</f>
        <v>41807.901093777218</v>
      </c>
      <c r="K6" s="7">
        <f>'Residual Value'!B19</f>
        <v>0</v>
      </c>
      <c r="L6" s="7">
        <f>'Other Benefit 1'!B9</f>
        <v>0</v>
      </c>
      <c r="M6" s="7">
        <f>'Other Benefit 2'!B9</f>
        <v>0</v>
      </c>
      <c r="N6" s="7">
        <f>'Other Benefit 3'!B9</f>
        <v>0</v>
      </c>
      <c r="O6" s="7">
        <f>'Other Benefit 4'!B13</f>
        <v>0</v>
      </c>
      <c r="P6" s="154">
        <f t="shared" ref="P6:P34" si="0">SUM(C6:O6)-B6</f>
        <v>3970275.4605936203</v>
      </c>
      <c r="Q6" s="8">
        <f>IFERROR(((P6-G6)/(1.031)^(A6-Overview!$B$22))+((G6)/(1.02)^(A6-Overview!$B$22)),0)</f>
        <v>2925750.7171105561</v>
      </c>
    </row>
    <row r="7" spans="1:17">
      <c r="A7" s="1">
        <f>IF(A6&lt;'Project Information'!B$10,A6+1,"")</f>
        <v>2034</v>
      </c>
      <c r="B7" s="7">
        <f>'Operations and Maintenance'!D7</f>
        <v>5820</v>
      </c>
      <c r="C7" s="7">
        <f>Safety!D21</f>
        <v>3931207</v>
      </c>
      <c r="D7" s="7">
        <f>'Travel Time Savings'!D22</f>
        <v>0</v>
      </c>
      <c r="E7" s="7">
        <f>'Vehicle Operating Cost Savings'!D28</f>
        <v>0</v>
      </c>
      <c r="F7" s="21">
        <f>'Emissions Reduction'!S31</f>
        <v>32.326696972340869</v>
      </c>
      <c r="G7" s="21">
        <f>'Emissions Reduction'!T31</f>
        <v>286.63004648807691</v>
      </c>
      <c r="H7" s="21">
        <f>'Other Highway Use Externalities'!B22</f>
        <v>0</v>
      </c>
      <c r="I7" s="7">
        <f>'Amenity Benefits'!B7</f>
        <v>2960.3332872618953</v>
      </c>
      <c r="J7" s="7">
        <f>'Health Benefits'!B14</f>
        <v>44502.84255311999</v>
      </c>
      <c r="K7" s="7">
        <f>'Residual Value'!B20</f>
        <v>0</v>
      </c>
      <c r="L7" s="7">
        <f>'Other Benefit 1'!B10</f>
        <v>0</v>
      </c>
      <c r="M7" s="7">
        <f>'Other Benefit 2'!B10</f>
        <v>0</v>
      </c>
      <c r="N7" s="7">
        <f>'Other Benefit 3'!B10</f>
        <v>0</v>
      </c>
      <c r="O7" s="7">
        <f>'Other Benefit 4'!B14</f>
        <v>0</v>
      </c>
      <c r="P7" s="154">
        <f t="shared" si="0"/>
        <v>3973169.1325838426</v>
      </c>
      <c r="Q7" s="8">
        <f>IFERROR(((P7-G7)/(1.031)^(A7-Overview!$B$22))+((G7)/(1.02)^(A7-Overview!$B$22)),0)</f>
        <v>2839851.6805936336</v>
      </c>
    </row>
    <row r="8" spans="1:17">
      <c r="A8" s="1">
        <f>IF(A7&lt;'Project Information'!B$10,A7+1,"")</f>
        <v>2035</v>
      </c>
      <c r="B8" s="7">
        <f>'Operations and Maintenance'!D8</f>
        <v>5820</v>
      </c>
      <c r="C8" s="7">
        <f>Safety!D22</f>
        <v>3931207</v>
      </c>
      <c r="D8" s="7">
        <f>'Travel Time Savings'!D23</f>
        <v>0</v>
      </c>
      <c r="E8" s="7">
        <f>'Vehicle Operating Cost Savings'!D29</f>
        <v>0</v>
      </c>
      <c r="F8" s="21">
        <f>'Emissions Reduction'!S32</f>
        <v>34.515296360979846</v>
      </c>
      <c r="G8" s="21">
        <f>'Emissions Reduction'!T32</f>
        <v>306.03562773403246</v>
      </c>
      <c r="H8" s="21">
        <f>'Other Highway Use Externalities'!B23</f>
        <v>0</v>
      </c>
      <c r="I8" s="7">
        <f>'Amenity Benefits'!B8</f>
        <v>3158.9768890420296</v>
      </c>
      <c r="J8" s="7">
        <f>'Health Benefits'!B15</f>
        <v>47489.06203463742</v>
      </c>
      <c r="K8" s="7">
        <f>'Residual Value'!B21</f>
        <v>0</v>
      </c>
      <c r="L8" s="7">
        <f>'Other Benefit 1'!B11</f>
        <v>0</v>
      </c>
      <c r="M8" s="7">
        <f>'Other Benefit 2'!B11</f>
        <v>0</v>
      </c>
      <c r="N8" s="7">
        <f>'Other Benefit 3'!B11</f>
        <v>0</v>
      </c>
      <c r="O8" s="7">
        <f>'Other Benefit 4'!B15</f>
        <v>0</v>
      </c>
      <c r="P8" s="154">
        <f t="shared" si="0"/>
        <v>3976375.5898477742</v>
      </c>
      <c r="Q8" s="8">
        <f>IFERROR(((P8-G8)/(1.031)^(A8-Overview!$B$22))+((G8)/(1.02)^(A8-Overview!$B$22)),0)</f>
        <v>2756690.4850328234</v>
      </c>
    </row>
    <row r="9" spans="1:17">
      <c r="A9" s="1">
        <f>IF(A8&lt;'Project Information'!B$10,A8+1,"")</f>
        <v>2036</v>
      </c>
      <c r="B9" s="7">
        <f>'Operations and Maintenance'!D9</f>
        <v>5820</v>
      </c>
      <c r="C9" s="7">
        <f>Safety!D23</f>
        <v>3931207</v>
      </c>
      <c r="D9" s="7">
        <f>'Travel Time Savings'!D24</f>
        <v>0</v>
      </c>
      <c r="E9" s="7">
        <f>'Vehicle Operating Cost Savings'!D30</f>
        <v>0</v>
      </c>
      <c r="F9" s="21">
        <f>'Emissions Reduction'!S33</f>
        <v>36.95967201753956</v>
      </c>
      <c r="G9" s="21">
        <f>'Emissions Reduction'!T33</f>
        <v>327.70909188885707</v>
      </c>
      <c r="H9" s="21">
        <f>'Other Highway Use Externalities'!B24</f>
        <v>0</v>
      </c>
      <c r="I9" s="7">
        <f>'Amenity Benefits'!B9</f>
        <v>3380.5513895309891</v>
      </c>
      <c r="J9" s="7">
        <f>'Health Benefits'!B16</f>
        <v>50820.002895747974</v>
      </c>
      <c r="K9" s="7">
        <f>'Residual Value'!B22</f>
        <v>0</v>
      </c>
      <c r="L9" s="7">
        <f>'Other Benefit 1'!B12</f>
        <v>0</v>
      </c>
      <c r="M9" s="7">
        <f>'Other Benefit 2'!B12</f>
        <v>0</v>
      </c>
      <c r="N9" s="7">
        <f>'Other Benefit 3'!B12</f>
        <v>0</v>
      </c>
      <c r="O9" s="7">
        <f>'Other Benefit 4'!B16</f>
        <v>0</v>
      </c>
      <c r="P9" s="154">
        <f t="shared" si="0"/>
        <v>3979952.2230491848</v>
      </c>
      <c r="Q9" s="8">
        <f>IFERROR(((P9-G9)/(1.031)^(A9-Overview!$B$22))+((G9)/(1.02)^(A9-Overview!$B$22)),0)</f>
        <v>2676212.2906985688</v>
      </c>
    </row>
    <row r="10" spans="1:17">
      <c r="A10" s="1">
        <f>IF(A9&lt;'Project Information'!B$10,A9+1,"")</f>
        <v>2037</v>
      </c>
      <c r="B10" s="7">
        <f>'Operations and Maintenance'!D10</f>
        <v>5820</v>
      </c>
      <c r="C10" s="7">
        <f>Safety!D24</f>
        <v>3931207</v>
      </c>
      <c r="D10" s="7">
        <f>'Travel Time Savings'!D25</f>
        <v>0</v>
      </c>
      <c r="E10" s="7">
        <f>'Vehicle Operating Cost Savings'!D31</f>
        <v>0</v>
      </c>
      <c r="F10" s="21">
        <f>'Emissions Reduction'!S34</f>
        <v>39.710159070753434</v>
      </c>
      <c r="G10" s="21">
        <f>'Emissions Reduction'!T34</f>
        <v>352.0967437607469</v>
      </c>
      <c r="H10" s="21">
        <f>'Other Highway Use Externalities'!B25</f>
        <v>0</v>
      </c>
      <c r="I10" s="7">
        <f>'Amenity Benefits'!B10</f>
        <v>3629.5576704018008</v>
      </c>
      <c r="J10" s="7">
        <f>'Health Benefits'!B17</f>
        <v>54563.327122116178</v>
      </c>
      <c r="K10" s="7">
        <f>'Residual Value'!B23</f>
        <v>0</v>
      </c>
      <c r="L10" s="7">
        <f>'Other Benefit 1'!B13</f>
        <v>0</v>
      </c>
      <c r="M10" s="7">
        <f>'Other Benefit 2'!B13</f>
        <v>0</v>
      </c>
      <c r="N10" s="7">
        <f>'Other Benefit 3'!B13</f>
        <v>0</v>
      </c>
      <c r="O10" s="7">
        <f>'Other Benefit 4'!B17</f>
        <v>0</v>
      </c>
      <c r="P10" s="154">
        <f t="shared" si="0"/>
        <v>3983971.6916953493</v>
      </c>
      <c r="Q10" s="8">
        <f>IFERROR(((P10-G10)/(1.031)^(A10-Overview!$B$22))+((G10)/(1.02)^(A10-Overview!$B$22)),0)</f>
        <v>2598370.9316919767</v>
      </c>
    </row>
    <row r="11" spans="1:17">
      <c r="A11" s="1">
        <f>IF(A10&lt;'Project Information'!B$10,A10+1,"")</f>
        <v>2038</v>
      </c>
      <c r="B11" s="7">
        <f>'Operations and Maintenance'!D11</f>
        <v>5820</v>
      </c>
      <c r="C11" s="7">
        <f>Safety!D25</f>
        <v>3931207</v>
      </c>
      <c r="D11" s="7">
        <f>'Travel Time Savings'!D26</f>
        <v>0</v>
      </c>
      <c r="E11" s="7">
        <f>'Vehicle Operating Cost Savings'!D32</f>
        <v>0</v>
      </c>
      <c r="F11" s="21">
        <f>'Emissions Reduction'!S35</f>
        <v>42.831450924044475</v>
      </c>
      <c r="G11" s="21">
        <f>'Emissions Reduction'!T35</f>
        <v>379.7721981931827</v>
      </c>
      <c r="H11" s="21">
        <f>'Other Highway Use Externalities'!B26</f>
        <v>0</v>
      </c>
      <c r="I11" s="7">
        <f>'Amenity Benefits'!B11</f>
        <v>3911.780181311145</v>
      </c>
      <c r="J11" s="7">
        <f>'Health Benefits'!B18</f>
        <v>58805.992642916914</v>
      </c>
      <c r="K11" s="7">
        <f>'Residual Value'!B24</f>
        <v>0</v>
      </c>
      <c r="L11" s="7">
        <f>'Other Benefit 1'!B14</f>
        <v>0</v>
      </c>
      <c r="M11" s="7">
        <f>'Other Benefit 2'!B14</f>
        <v>0</v>
      </c>
      <c r="N11" s="7">
        <f>'Other Benefit 3'!B14</f>
        <v>0</v>
      </c>
      <c r="O11" s="7">
        <f>'Other Benefit 4'!B18</f>
        <v>0</v>
      </c>
      <c r="P11" s="154">
        <f t="shared" si="0"/>
        <v>3988527.3764733453</v>
      </c>
      <c r="Q11" s="8">
        <f>IFERROR(((P11-G11)/(1.031)^(A11-Overview!$B$22))+((G11)/(1.02)^(A11-Overview!$B$22)),0)</f>
        <v>2523131.0994287496</v>
      </c>
    </row>
    <row r="12" spans="1:17">
      <c r="A12" s="1">
        <f>IF(A11&lt;'Project Information'!B$10,A11+1,"")</f>
        <v>2039</v>
      </c>
      <c r="B12" s="7">
        <f>'Operations and Maintenance'!D12</f>
        <v>5820</v>
      </c>
      <c r="C12" s="7">
        <f>Safety!D26</f>
        <v>3931207</v>
      </c>
      <c r="D12" s="7">
        <f>'Travel Time Savings'!D27</f>
        <v>0</v>
      </c>
      <c r="E12" s="7">
        <f>'Vehicle Operating Cost Savings'!D33</f>
        <v>0</v>
      </c>
      <c r="F12" s="21">
        <f>'Emissions Reduction'!S36</f>
        <v>46.408121126361948</v>
      </c>
      <c r="G12" s="21">
        <f>'Emissions Reduction'!T36</f>
        <v>411.48534065380227</v>
      </c>
      <c r="H12" s="21">
        <f>'Other Highway Use Externalities'!B27</f>
        <v>0</v>
      </c>
      <c r="I12" s="7">
        <f>'Amenity Benefits'!B12</f>
        <v>4234.7805639313119</v>
      </c>
      <c r="J12" s="7">
        <f>'Health Benefits'!B19</f>
        <v>63661.674006294124</v>
      </c>
      <c r="K12" s="7">
        <f>'Residual Value'!B25</f>
        <v>0</v>
      </c>
      <c r="L12" s="7">
        <f>'Other Benefit 1'!B15</f>
        <v>0</v>
      </c>
      <c r="M12" s="7">
        <f>'Other Benefit 2'!B15</f>
        <v>0</v>
      </c>
      <c r="N12" s="7">
        <f>'Other Benefit 3'!B15</f>
        <v>0</v>
      </c>
      <c r="O12" s="7">
        <f>'Other Benefit 4'!B19</f>
        <v>0</v>
      </c>
      <c r="P12" s="154">
        <f>SUM(C12:O12)-B12</f>
        <v>3993741.3480320056</v>
      </c>
      <c r="Q12" s="8">
        <f>IFERROR(((P12-G12)/(1.031)^(A12-Overview!$B$22))+((G12)/(1.02)^(A12-Overview!$B$22)),0)</f>
        <v>2450471.5687989374</v>
      </c>
    </row>
    <row r="13" spans="1:17">
      <c r="A13" s="1">
        <f>IF(A12&lt;'Project Information'!B$10,A12+1,"")</f>
        <v>2040</v>
      </c>
      <c r="B13" s="7">
        <f>'Operations and Maintenance'!D13</f>
        <v>5820</v>
      </c>
      <c r="C13" s="7">
        <f>Safety!D27</f>
        <v>3931207</v>
      </c>
      <c r="D13" s="7">
        <f>'Travel Time Savings'!D28</f>
        <v>0</v>
      </c>
      <c r="E13" s="7">
        <f>'Vehicle Operating Cost Savings'!D34</f>
        <v>0</v>
      </c>
      <c r="F13" s="21">
        <f>'Emissions Reduction'!S37</f>
        <v>50.55290616734419</v>
      </c>
      <c r="G13" s="21">
        <f>'Emissions Reduction'!T37</f>
        <v>448.23576801706804</v>
      </c>
      <c r="H13" s="21">
        <f>'Other Highway Use Externalities'!B28</f>
        <v>0</v>
      </c>
      <c r="I13" s="7">
        <f>'Amenity Benefits'!B13</f>
        <v>4608.6380868180549</v>
      </c>
      <c r="J13" s="7">
        <f>'Health Benefits'!B20</f>
        <v>69281.89337480886</v>
      </c>
      <c r="K13" s="7">
        <f>'Residual Value'!B26</f>
        <v>0</v>
      </c>
      <c r="L13" s="7">
        <f>'Other Benefit 1'!B16</f>
        <v>0</v>
      </c>
      <c r="M13" s="7">
        <f>'Other Benefit 2'!B16</f>
        <v>0</v>
      </c>
      <c r="N13" s="7">
        <f>'Other Benefit 3'!B16</f>
        <v>0</v>
      </c>
      <c r="O13" s="7">
        <f>'Other Benefit 4'!B20</f>
        <v>0</v>
      </c>
      <c r="P13" s="154">
        <f t="shared" si="0"/>
        <v>3999776.3201358113</v>
      </c>
      <c r="Q13" s="8">
        <f>IFERROR(((P13-G13)/(1.031)^(A13-Overview!$B$22))+((G13)/(1.02)^(A13-Overview!$B$22)),0)</f>
        <v>2380390.0739198183</v>
      </c>
    </row>
    <row r="14" spans="1:17">
      <c r="A14" s="1">
        <f>IF(A13&lt;'Project Information'!B$10,A13+1,"")</f>
        <v>2041</v>
      </c>
      <c r="B14" s="7">
        <f>'Operations and Maintenance'!D14</f>
        <v>5820</v>
      </c>
      <c r="C14" s="7">
        <f>Safety!D28</f>
        <v>3931207</v>
      </c>
      <c r="D14" s="7">
        <f>'Travel Time Savings'!D29</f>
        <v>0</v>
      </c>
      <c r="E14" s="7">
        <f>'Vehicle Operating Cost Savings'!D35</f>
        <v>0</v>
      </c>
      <c r="F14" s="21">
        <f>'Emissions Reduction'!S38</f>
        <v>55.419506147562061</v>
      </c>
      <c r="G14" s="21">
        <f>'Emissions Reduction'!T38</f>
        <v>491.38628784165485</v>
      </c>
      <c r="H14" s="21">
        <f>'Other Highway Use Externalities'!B29</f>
        <v>0</v>
      </c>
      <c r="I14" s="7">
        <f>'Amenity Benefits'!B14</f>
        <v>5047.0939525316144</v>
      </c>
      <c r="J14" s="7">
        <f>'Health Benefits'!B21</f>
        <v>75873.222953239601</v>
      </c>
      <c r="K14" s="7">
        <f>'Residual Value'!B27</f>
        <v>0</v>
      </c>
      <c r="L14" s="7">
        <f>'Other Benefit 1'!B17</f>
        <v>0</v>
      </c>
      <c r="M14" s="7">
        <f>'Other Benefit 2'!B17</f>
        <v>0</v>
      </c>
      <c r="N14" s="7">
        <f>'Other Benefit 3'!B17</f>
        <v>0</v>
      </c>
      <c r="O14" s="7">
        <f>'Other Benefit 4'!B21</f>
        <v>0</v>
      </c>
      <c r="P14" s="154">
        <f t="shared" si="0"/>
        <v>4006854.1226997599</v>
      </c>
      <c r="Q14" s="8">
        <f>IFERROR(((P14-G14)/(1.031)^(A14-Overview!$B$22))+((G14)/(1.02)^(A14-Overview!$B$22)),0)</f>
        <v>2312910.8818423017</v>
      </c>
    </row>
    <row r="15" spans="1:17">
      <c r="A15" s="1">
        <f>IF(A14&lt;'Project Information'!B$10,A14+1,"")</f>
        <v>2042</v>
      </c>
      <c r="B15" s="7">
        <f>'Operations and Maintenance'!D15</f>
        <v>5820</v>
      </c>
      <c r="C15" s="7">
        <f>Safety!D29</f>
        <v>3931207</v>
      </c>
      <c r="D15" s="7">
        <f>'Travel Time Savings'!D30</f>
        <v>0</v>
      </c>
      <c r="E15" s="7">
        <f>'Vehicle Operating Cost Savings'!D36</f>
        <v>0</v>
      </c>
      <c r="F15" s="21">
        <f>'Emissions Reduction'!S39</f>
        <v>61.22306583711179</v>
      </c>
      <c r="G15" s="21">
        <f>'Emissions Reduction'!T39</f>
        <v>542.84451708907727</v>
      </c>
      <c r="H15" s="21">
        <f>'Other Highway Use Externalities'!B30</f>
        <v>0</v>
      </c>
      <c r="I15" s="7">
        <f>'Amenity Benefits'!B15</f>
        <v>5569.3821875634394</v>
      </c>
      <c r="J15" s="7">
        <f>'Health Benefits'!B22</f>
        <v>83724.808851010835</v>
      </c>
      <c r="K15" s="7">
        <f>'Residual Value'!B28</f>
        <v>0</v>
      </c>
      <c r="L15" s="7">
        <f>'Other Benefit 1'!B18</f>
        <v>0</v>
      </c>
      <c r="M15" s="7">
        <f>'Other Benefit 2'!B18</f>
        <v>0</v>
      </c>
      <c r="N15" s="7">
        <f>'Other Benefit 3'!B18</f>
        <v>0</v>
      </c>
      <c r="O15" s="7">
        <f>'Other Benefit 4'!B22</f>
        <v>0</v>
      </c>
      <c r="P15" s="154">
        <f t="shared" si="0"/>
        <v>4015285.2586215003</v>
      </c>
      <c r="Q15" s="8">
        <f>IFERROR(((P15-G15)/(1.031)^(A15-Overview!$B$22))+((G15)/(1.02)^(A15-Overview!$B$22)),0)</f>
        <v>2248096.9513112903</v>
      </c>
    </row>
    <row r="16" spans="1:17">
      <c r="A16" s="1">
        <f>IF(A15&lt;'Project Information'!B$10,A15+1,"")</f>
        <v>2043</v>
      </c>
      <c r="B16" s="7">
        <f>'Operations and Maintenance'!D16</f>
        <v>5820</v>
      </c>
      <c r="C16" s="7">
        <f>Safety!D30</f>
        <v>3931207</v>
      </c>
      <c r="D16" s="7">
        <f>'Travel Time Savings'!D31</f>
        <v>0</v>
      </c>
      <c r="E16" s="7">
        <f>'Vehicle Operating Cost Savings'!D37</f>
        <v>0</v>
      </c>
      <c r="F16" s="21">
        <f>'Emissions Reduction'!S40</f>
        <v>68.274309756947332</v>
      </c>
      <c r="G16" s="21">
        <f>'Emissions Reduction'!T40</f>
        <v>605.3655465116608</v>
      </c>
      <c r="H16" s="21">
        <f>'Other Highway Use Externalities'!B31</f>
        <v>0</v>
      </c>
      <c r="I16" s="7">
        <f>'Amenity Benefits'!B16</f>
        <v>6203.2811238851145</v>
      </c>
      <c r="J16" s="7">
        <f>'Health Benefits'!B23</f>
        <v>93254.244161251307</v>
      </c>
      <c r="K16" s="7">
        <f>'Residual Value'!B29</f>
        <v>0</v>
      </c>
      <c r="L16" s="7">
        <f>'Other Benefit 1'!B19</f>
        <v>0</v>
      </c>
      <c r="M16" s="7">
        <f>'Other Benefit 2'!B19</f>
        <v>0</v>
      </c>
      <c r="N16" s="7">
        <f>'Other Benefit 3'!B19</f>
        <v>0</v>
      </c>
      <c r="O16" s="7">
        <f>'Other Benefit 4'!B23</f>
        <v>0</v>
      </c>
      <c r="P16" s="154">
        <f t="shared" si="0"/>
        <v>4025518.1651414051</v>
      </c>
      <c r="Q16" s="8">
        <f>IFERROR(((P16-G16)/(1.031)^(A16-Overview!$B$22))+((G16)/(1.02)^(A16-Overview!$B$22)),0)</f>
        <v>2186070.2411585134</v>
      </c>
    </row>
    <row r="17" spans="1:17">
      <c r="A17" s="1">
        <f>IF(A16&lt;'Project Information'!B$10,A16+1,"")</f>
        <v>2044</v>
      </c>
      <c r="B17" s="7">
        <f>'Operations and Maintenance'!D17</f>
        <v>5820</v>
      </c>
      <c r="C17" s="7">
        <f>Safety!D31</f>
        <v>3931207</v>
      </c>
      <c r="D17" s="7">
        <f>'Travel Time Savings'!D32</f>
        <v>0</v>
      </c>
      <c r="E17" s="7">
        <f>'Vehicle Operating Cost Savings'!D38</f>
        <v>0</v>
      </c>
      <c r="F17" s="21">
        <f>'Emissions Reduction'!S41</f>
        <v>77.039278552707401</v>
      </c>
      <c r="G17" s="21">
        <f>'Emissions Reduction'!T41</f>
        <v>683.08160316734575</v>
      </c>
      <c r="H17" s="21">
        <f>'Other Highway Use Externalities'!B32</f>
        <v>0</v>
      </c>
      <c r="I17" s="7">
        <f>'Amenity Benefits'!B17</f>
        <v>6990.4534897580497</v>
      </c>
      <c r="J17" s="7">
        <f>'Health Benefits'!B24</f>
        <v>105087.84682056939</v>
      </c>
      <c r="K17" s="7">
        <f>'Residual Value'!B30</f>
        <v>0</v>
      </c>
      <c r="L17" s="7">
        <f>'Other Benefit 1'!B20</f>
        <v>0</v>
      </c>
      <c r="M17" s="7">
        <f>'Other Benefit 2'!B20</f>
        <v>0</v>
      </c>
      <c r="N17" s="7">
        <f>'Other Benefit 3'!B20</f>
        <v>0</v>
      </c>
      <c r="O17" s="7">
        <f>'Other Benefit 4'!B24</f>
        <v>0</v>
      </c>
      <c r="P17" s="154">
        <f t="shared" si="0"/>
        <v>4038225.4211920481</v>
      </c>
      <c r="Q17" s="8">
        <f>IFERROR(((P17-G17)/(1.031)^(A17-Overview!$B$22))+((G17)/(1.02)^(A17-Overview!$B$22)),0)</f>
        <v>2127047.2975453562</v>
      </c>
    </row>
    <row r="18" spans="1:17">
      <c r="A18" s="1">
        <f>IF(A17&lt;'Project Information'!B$10,A17+1,"")</f>
        <v>2045</v>
      </c>
      <c r="B18" s="7">
        <f>'Operations and Maintenance'!D18</f>
        <v>5820</v>
      </c>
      <c r="C18" s="7">
        <f>Safety!D32</f>
        <v>3931207</v>
      </c>
      <c r="D18" s="7">
        <f>'Travel Time Savings'!D33</f>
        <v>0</v>
      </c>
      <c r="E18" s="7">
        <f>'Vehicle Operating Cost Savings'!D39</f>
        <v>0</v>
      </c>
      <c r="F18" s="21">
        <f>'Emissions Reduction'!S42</f>
        <v>88.250267953284492</v>
      </c>
      <c r="G18" s="21">
        <f>'Emissions Reduction'!T42</f>
        <v>782.48570918577025</v>
      </c>
      <c r="H18" s="21">
        <f>'Other Highway Use Externalities'!B33</f>
        <v>0</v>
      </c>
      <c r="I18" s="7">
        <f>'Amenity Benefits'!B18</f>
        <v>7996.3637190237087</v>
      </c>
      <c r="J18" s="7">
        <f>'Health Benefits'!B25</f>
        <v>120209.74702964613</v>
      </c>
      <c r="K18" s="7">
        <f>'Residual Value'!B31</f>
        <v>0</v>
      </c>
      <c r="L18" s="7">
        <f>'Other Benefit 1'!B21</f>
        <v>0</v>
      </c>
      <c r="M18" s="7">
        <f>'Other Benefit 2'!B21</f>
        <v>0</v>
      </c>
      <c r="N18" s="7">
        <f>'Other Benefit 3'!B21</f>
        <v>0</v>
      </c>
      <c r="O18" s="7">
        <f>'Other Benefit 4'!B25</f>
        <v>0</v>
      </c>
      <c r="P18" s="154">
        <f t="shared" si="0"/>
        <v>4054463.8467258089</v>
      </c>
      <c r="Q18" s="8">
        <f>IFERROR(((P18-G18)/(1.031)^(A18-Overview!$B$22))+((G18)/(1.02)^(A18-Overview!$B$22)),0)</f>
        <v>2071405.397016939</v>
      </c>
    </row>
    <row r="19" spans="1:17">
      <c r="A19" s="1">
        <f>IF(A18&lt;'Project Information'!B$10,A18+1,"")</f>
        <v>2046</v>
      </c>
      <c r="B19" s="7">
        <f>'Operations and Maintenance'!D19</f>
        <v>5820</v>
      </c>
      <c r="C19" s="7">
        <f>Safety!D33</f>
        <v>3931207</v>
      </c>
      <c r="D19" s="7">
        <f>'Travel Time Savings'!D34</f>
        <v>0</v>
      </c>
      <c r="E19" s="7">
        <f>'Vehicle Operating Cost Savings'!D40</f>
        <v>0</v>
      </c>
      <c r="F19" s="21">
        <f>'Emissions Reduction'!S43</f>
        <v>103.12770666253346</v>
      </c>
      <c r="G19" s="21">
        <f>'Emissions Reduction'!T43</f>
        <v>914.39899907453218</v>
      </c>
      <c r="H19" s="21">
        <f>'Other Highway Use Externalities'!B34</f>
        <v>0</v>
      </c>
      <c r="I19" s="7">
        <f>'Amenity Benefits'!B19</f>
        <v>9330.1125670550573</v>
      </c>
      <c r="J19" s="7">
        <f>'Health Benefits'!B26</f>
        <v>140260.06205489929</v>
      </c>
      <c r="K19" s="7">
        <f>'Residual Value'!B32</f>
        <v>0</v>
      </c>
      <c r="L19" s="7">
        <f>'Other Benefit 1'!B22</f>
        <v>0</v>
      </c>
      <c r="M19" s="7">
        <f>'Other Benefit 2'!B22</f>
        <v>0</v>
      </c>
      <c r="N19" s="7">
        <f>'Other Benefit 3'!B22</f>
        <v>0</v>
      </c>
      <c r="O19" s="7">
        <f>'Other Benefit 4'!B26</f>
        <v>0</v>
      </c>
      <c r="P19" s="154">
        <f t="shared" si="0"/>
        <v>4075994.7013276918</v>
      </c>
      <c r="Q19" s="8">
        <f>IFERROR(((P19-G19)/(1.031)^(A19-Overview!$B$22))+((G19)/(1.02)^(A19-Overview!$B$22)),0)</f>
        <v>2019814.8916856488</v>
      </c>
    </row>
    <row r="20" spans="1:17">
      <c r="A20" s="1">
        <f>IF(A19&lt;'Project Information'!B$10,A19+1,"")</f>
        <v>2047</v>
      </c>
      <c r="B20" s="7">
        <f>'Operations and Maintenance'!D20</f>
        <v>5820</v>
      </c>
      <c r="C20" s="7">
        <f>Safety!D34</f>
        <v>3931207</v>
      </c>
      <c r="D20" s="7">
        <f>'Travel Time Savings'!D35</f>
        <v>0</v>
      </c>
      <c r="E20" s="7">
        <f>'Vehicle Operating Cost Savings'!D41</f>
        <v>0</v>
      </c>
      <c r="F20" s="21">
        <f>'Emissions Reduction'!S44</f>
        <v>123.86828768971463</v>
      </c>
      <c r="G20" s="21">
        <f>'Emissions Reduction'!T44</f>
        <v>1098.2988175154314</v>
      </c>
      <c r="H20" s="21">
        <f>'Other Highway Use Externalities'!B35</f>
        <v>0</v>
      </c>
      <c r="I20" s="7">
        <f>'Amenity Benefits'!B20</f>
        <v>11188.073262638416</v>
      </c>
      <c r="J20" s="7">
        <f>'Health Benefits'!B27</f>
        <v>168190.88074386824</v>
      </c>
      <c r="K20" s="7">
        <f>'Residual Value'!B33</f>
        <v>0</v>
      </c>
      <c r="L20" s="7">
        <f>'Other Benefit 1'!B23</f>
        <v>0</v>
      </c>
      <c r="M20" s="7">
        <f>'Other Benefit 2'!B23</f>
        <v>0</v>
      </c>
      <c r="N20" s="7">
        <f>'Other Benefit 3'!B23</f>
        <v>0</v>
      </c>
      <c r="O20" s="7">
        <f>'Other Benefit 4'!B27</f>
        <v>0</v>
      </c>
      <c r="P20" s="154">
        <f t="shared" si="0"/>
        <v>4105988.1211117115</v>
      </c>
      <c r="Q20" s="8">
        <f>IFERROR(((P20-G20)/(1.031)^(A20-Overview!$B$22))+((G20)/(1.02)^(A20-Overview!$B$22)),0)</f>
        <v>1973530.4370585775</v>
      </c>
    </row>
    <row r="21" spans="1:17">
      <c r="A21" s="1">
        <f>IF(A20&lt;'Project Information'!B$10,A20+1,"")</f>
        <v>2048</v>
      </c>
      <c r="B21" s="7">
        <f>'Operations and Maintenance'!D21</f>
        <v>5820</v>
      </c>
      <c r="C21" s="7">
        <f>Safety!D35</f>
        <v>3931207</v>
      </c>
      <c r="D21" s="7">
        <f>'Travel Time Savings'!D36</f>
        <v>0</v>
      </c>
      <c r="E21" s="7">
        <f>'Vehicle Operating Cost Savings'!D42</f>
        <v>0</v>
      </c>
      <c r="F21" s="21">
        <f>'Emissions Reduction'!S45</f>
        <v>154.86529663593683</v>
      </c>
      <c r="G21" s="21">
        <f>'Emissions Reduction'!T45</f>
        <v>1373.1389635053347</v>
      </c>
      <c r="H21" s="21">
        <f>'Other Highway Use Externalities'!B36</f>
        <v>0</v>
      </c>
      <c r="I21" s="7">
        <f>'Amenity Benefits'!B21</f>
        <v>13962.981883591321</v>
      </c>
      <c r="J21" s="7">
        <f>'Health Benefits'!B28</f>
        <v>209906.2247522395</v>
      </c>
      <c r="K21" s="7">
        <f>'Residual Value'!B34</f>
        <v>0</v>
      </c>
      <c r="L21" s="7">
        <f>'Other Benefit 1'!B24</f>
        <v>0</v>
      </c>
      <c r="M21" s="7">
        <f>'Other Benefit 2'!B24</f>
        <v>0</v>
      </c>
      <c r="N21" s="7">
        <f>'Other Benefit 3'!B24</f>
        <v>0</v>
      </c>
      <c r="O21" s="7">
        <f>'Other Benefit 4'!B28</f>
        <v>0</v>
      </c>
      <c r="P21" s="154">
        <f t="shared" si="0"/>
        <v>4150784.2108959719</v>
      </c>
      <c r="Q21" s="8">
        <f>IFERROR(((P21-G21)/(1.031)^(A21-Overview!$B$22))+((G21)/(1.02)^(A21-Overview!$B$22)),0)</f>
        <v>1935119.1441575906</v>
      </c>
    </row>
    <row r="22" spans="1:17">
      <c r="A22" s="1">
        <f>IF(A21&lt;'Project Information'!B$10,A21+1,"")</f>
        <v>2049</v>
      </c>
      <c r="B22" s="7">
        <f>'Operations and Maintenance'!D22</f>
        <v>5820</v>
      </c>
      <c r="C22" s="7">
        <f>Safety!D36</f>
        <v>3931207</v>
      </c>
      <c r="D22" s="7">
        <f>'Travel Time Savings'!D37</f>
        <v>0</v>
      </c>
      <c r="E22" s="7">
        <f>'Vehicle Operating Cost Savings'!D43</f>
        <v>0</v>
      </c>
      <c r="F22" s="21">
        <f>'Emissions Reduction'!S46</f>
        <v>206.36959649997152</v>
      </c>
      <c r="G22" s="21">
        <f>'Emissions Reduction'!T46</f>
        <v>1829.8104222997208</v>
      </c>
      <c r="H22" s="21">
        <f>'Other Highway Use Externalities'!B37</f>
        <v>0</v>
      </c>
      <c r="I22" s="7">
        <f>'Amenity Benefits'!B22</f>
        <v>18571.208478067791</v>
      </c>
      <c r="J22" s="7">
        <f>'Health Benefits'!B29</f>
        <v>279181.93214151484</v>
      </c>
      <c r="K22" s="7">
        <f>'Residual Value'!B35</f>
        <v>0</v>
      </c>
      <c r="L22" s="7">
        <f>'Other Benefit 1'!B25</f>
        <v>0</v>
      </c>
      <c r="M22" s="7">
        <f>'Other Benefit 2'!B25</f>
        <v>0</v>
      </c>
      <c r="N22" s="7">
        <f>'Other Benefit 3'!B25</f>
        <v>0</v>
      </c>
      <c r="O22" s="7">
        <f>'Other Benefit 4'!B29</f>
        <v>0</v>
      </c>
      <c r="P22" s="154">
        <f t="shared" si="0"/>
        <v>4225176.3206383828</v>
      </c>
      <c r="Q22" s="8">
        <f>IFERROR(((P22-G22)/(1.031)^(A22-Overview!$B$22))+((G22)/(1.02)^(A22-Overview!$B$22)),0)</f>
        <v>1910645.1421129715</v>
      </c>
    </row>
    <row r="23" spans="1:17">
      <c r="A23" s="1">
        <f>IF(A22&lt;'Project Information'!B$10,A22+1,"")</f>
        <v>2050</v>
      </c>
      <c r="B23" s="7">
        <f>'Operations and Maintenance'!D23</f>
        <v>5820</v>
      </c>
      <c r="C23" s="7">
        <f>Safety!D37</f>
        <v>3931207</v>
      </c>
      <c r="D23" s="7">
        <f>'Travel Time Savings'!D38</f>
        <v>0</v>
      </c>
      <c r="E23" s="7">
        <f>'Vehicle Operating Cost Savings'!D44</f>
        <v>0</v>
      </c>
      <c r="F23" s="21">
        <f>'Emissions Reduction'!S47</f>
        <v>309.13356681874575</v>
      </c>
      <c r="G23" s="21">
        <f>'Emissions Reduction'!T47</f>
        <v>2740.984292459616</v>
      </c>
      <c r="H23" s="21">
        <f>'Other Highway Use Externalities'!B38</f>
        <v>0</v>
      </c>
      <c r="I23" s="7">
        <f>'Amenity Benefits'!B23</f>
        <v>27761.84154131023</v>
      </c>
      <c r="J23" s="7">
        <f>'Health Benefits'!B30</f>
        <v>417345.1916423674</v>
      </c>
      <c r="K23" s="7">
        <f>'Residual Value'!B36</f>
        <v>0</v>
      </c>
      <c r="L23" s="7">
        <f>'Other Benefit 1'!B26</f>
        <v>0</v>
      </c>
      <c r="M23" s="7">
        <f>'Other Benefit 2'!B26</f>
        <v>0</v>
      </c>
      <c r="N23" s="7">
        <f>'Other Benefit 3'!B26</f>
        <v>0</v>
      </c>
      <c r="O23" s="7">
        <f>'Other Benefit 4'!B30</f>
        <v>0</v>
      </c>
      <c r="P23" s="154">
        <f t="shared" si="0"/>
        <v>4373544.1510429559</v>
      </c>
      <c r="Q23" s="8">
        <f>IFERROR(((P23-G23)/(1.031)^(A23-Overview!$B$22))+((G23)/(1.02)^(A23-Overview!$B$22)),0)</f>
        <v>1918407.9823321539</v>
      </c>
    </row>
    <row r="24" spans="1:17">
      <c r="A24" s="1">
        <f>IF(A23&lt;'Project Information'!B$10,A23+1,"")</f>
        <v>2051</v>
      </c>
      <c r="B24" s="7">
        <f>'Operations and Maintenance'!D24</f>
        <v>5820</v>
      </c>
      <c r="C24" s="7">
        <f>Safety!D38</f>
        <v>3931207</v>
      </c>
      <c r="D24" s="7">
        <f>'Travel Time Savings'!D39</f>
        <v>0</v>
      </c>
      <c r="E24" s="7">
        <f>'Vehicle Operating Cost Savings'!D45</f>
        <v>0</v>
      </c>
      <c r="F24" s="21">
        <f>'Emissions Reduction'!S48</f>
        <v>616.91867748408549</v>
      </c>
      <c r="G24" s="21">
        <f>'Emissions Reduction'!T48</f>
        <v>5470.0122736921767</v>
      </c>
      <c r="H24" s="21">
        <f>'Other Highway Use Externalities'!B39</f>
        <v>0</v>
      </c>
      <c r="I24" s="7">
        <f>'Amenity Benefits'!B24</f>
        <v>55280.279335660627</v>
      </c>
      <c r="J24" s="7">
        <f>'Health Benefits'!B31</f>
        <v>831031.28223878064</v>
      </c>
      <c r="K24" s="7">
        <f>'Residual Value'!B37</f>
        <v>3124633.3870748631</v>
      </c>
      <c r="L24" s="7">
        <f>'Other Benefit 1'!B27</f>
        <v>0</v>
      </c>
      <c r="M24" s="7">
        <f>'Other Benefit 2'!B27</f>
        <v>0</v>
      </c>
      <c r="N24" s="7">
        <f>'Other Benefit 3'!B27</f>
        <v>0</v>
      </c>
      <c r="O24" s="7">
        <f>'Other Benefit 4'!B31</f>
        <v>0</v>
      </c>
      <c r="P24" s="154">
        <f t="shared" si="0"/>
        <v>7942418.8796004802</v>
      </c>
      <c r="Q24" s="8">
        <f>IFERROR(((P24-G24)/(1.031)^(A24-Overview!$B$22))+((G24)/(1.02)^(A24-Overview!$B$22)),0)</f>
        <v>3379208.040071921</v>
      </c>
    </row>
    <row r="25" spans="1:17">
      <c r="A25" s="1" t="str">
        <f>IF(A24&lt;'Project Information'!B$10,A24+1,"")</f>
        <v/>
      </c>
      <c r="B25" s="7">
        <f>'Operations and Maintenance'!D25</f>
        <v>0</v>
      </c>
      <c r="C25" s="7">
        <f>Safety!D39</f>
        <v>0</v>
      </c>
      <c r="D25" s="7">
        <f>'Travel Time Savings'!D40</f>
        <v>0</v>
      </c>
      <c r="E25" s="7">
        <f>'Vehicle Operating Cost Savings'!D46</f>
        <v>0</v>
      </c>
      <c r="F25" s="21">
        <f>'Emissions Reduction'!S49</f>
        <v>0</v>
      </c>
      <c r="G25" s="21">
        <f>'Emissions Reduction'!T49</f>
        <v>0</v>
      </c>
      <c r="H25" s="21">
        <f>'Other Highway Use Externalities'!B40</f>
        <v>0</v>
      </c>
      <c r="I25" s="7">
        <f>'Amenity Benefits'!B25</f>
        <v>0</v>
      </c>
      <c r="J25" s="7">
        <f>'Health Benefits'!B32</f>
        <v>0</v>
      </c>
      <c r="K25" s="7">
        <f>'Residual Value'!B38</f>
        <v>0</v>
      </c>
      <c r="L25" s="7">
        <f>'Other Benefit 1'!B28</f>
        <v>0</v>
      </c>
      <c r="M25" s="7">
        <f>'Other Benefit 2'!B28</f>
        <v>0</v>
      </c>
      <c r="N25" s="7">
        <f>'Other Benefit 3'!B28</f>
        <v>0</v>
      </c>
      <c r="O25" s="7">
        <f>'Other Benefit 4'!B32</f>
        <v>0</v>
      </c>
      <c r="P25" s="154">
        <f t="shared" si="0"/>
        <v>0</v>
      </c>
      <c r="Q25" s="8">
        <f>IFERROR(((P25-G25)/(1.031)^(A25-Overview!$B$22))+((G25)/(1.02)^(A25-Overview!$B$22)),0)</f>
        <v>0</v>
      </c>
    </row>
    <row r="26" spans="1:17">
      <c r="A26" s="1" t="str">
        <f>IF(A25&lt;'Project Information'!B$10,A25+1,"")</f>
        <v/>
      </c>
      <c r="B26" s="7">
        <f>'Operations and Maintenance'!D26</f>
        <v>0</v>
      </c>
      <c r="C26" s="7">
        <f>Safety!D40</f>
        <v>0</v>
      </c>
      <c r="D26" s="7">
        <f>'Travel Time Savings'!D41</f>
        <v>0</v>
      </c>
      <c r="E26" s="7">
        <f>'Vehicle Operating Cost Savings'!D47</f>
        <v>0</v>
      </c>
      <c r="F26" s="21">
        <f>'Emissions Reduction'!S50</f>
        <v>0</v>
      </c>
      <c r="G26" s="21">
        <f>'Emissions Reduction'!T50</f>
        <v>0</v>
      </c>
      <c r="H26" s="21">
        <f>'Other Highway Use Externalities'!B41</f>
        <v>0</v>
      </c>
      <c r="I26" s="7">
        <f>'Amenity Benefits'!B26</f>
        <v>0</v>
      </c>
      <c r="J26" s="7">
        <f>'Health Benefits'!B33</f>
        <v>0</v>
      </c>
      <c r="K26" s="7">
        <f>'Residual Value'!B39</f>
        <v>0</v>
      </c>
      <c r="L26" s="7">
        <f>'Other Benefit 1'!B29</f>
        <v>0</v>
      </c>
      <c r="M26" s="7">
        <f>'Other Benefit 2'!B29</f>
        <v>0</v>
      </c>
      <c r="N26" s="7">
        <f>'Other Benefit 3'!B29</f>
        <v>0</v>
      </c>
      <c r="O26" s="7">
        <f>'Other Benefit 4'!B33</f>
        <v>0</v>
      </c>
      <c r="P26" s="154">
        <f t="shared" si="0"/>
        <v>0</v>
      </c>
      <c r="Q26" s="8">
        <f>IFERROR(((P26-G26)/(1.031)^(A26-Overview!$B$22))+((G26)/(1.02)^(A26-Overview!$B$22)),0)</f>
        <v>0</v>
      </c>
    </row>
    <row r="27" spans="1:17">
      <c r="A27" s="1" t="str">
        <f>IF(A26&lt;'Project Information'!B$10,A26+1,"")</f>
        <v/>
      </c>
      <c r="B27" s="7">
        <f>'Operations and Maintenance'!D27</f>
        <v>0</v>
      </c>
      <c r="C27" s="7">
        <f>Safety!D41</f>
        <v>0</v>
      </c>
      <c r="D27" s="7">
        <f>'Travel Time Savings'!D42</f>
        <v>0</v>
      </c>
      <c r="E27" s="7">
        <f>'Vehicle Operating Cost Savings'!D48</f>
        <v>0</v>
      </c>
      <c r="F27" s="21">
        <f>'Emissions Reduction'!S51</f>
        <v>0</v>
      </c>
      <c r="G27" s="21">
        <f>'Emissions Reduction'!T51</f>
        <v>0</v>
      </c>
      <c r="H27" s="21">
        <f>'Other Highway Use Externalities'!B42</f>
        <v>0</v>
      </c>
      <c r="I27" s="7">
        <f>'Amenity Benefits'!B27</f>
        <v>0</v>
      </c>
      <c r="J27" s="7">
        <f>'Health Benefits'!B34</f>
        <v>0</v>
      </c>
      <c r="K27" s="7">
        <f>'Residual Value'!B40</f>
        <v>0</v>
      </c>
      <c r="L27" s="7">
        <f>'Other Benefit 1'!B30</f>
        <v>0</v>
      </c>
      <c r="M27" s="7">
        <f>'Other Benefit 2'!B30</f>
        <v>0</v>
      </c>
      <c r="N27" s="7">
        <f>'Other Benefit 3'!B30</f>
        <v>0</v>
      </c>
      <c r="O27" s="7">
        <f>'Other Benefit 4'!B34</f>
        <v>0</v>
      </c>
      <c r="P27" s="154">
        <f t="shared" si="0"/>
        <v>0</v>
      </c>
      <c r="Q27" s="8">
        <f>IFERROR(((P27-G27)/(1.031)^(A27-Overview!$B$22))+((G27)/(1.02)^(A27-Overview!$B$22)),0)</f>
        <v>0</v>
      </c>
    </row>
    <row r="28" spans="1:17">
      <c r="A28" s="1" t="str">
        <f>IF(A27&lt;'Project Information'!B$10,A27+1,"")</f>
        <v/>
      </c>
      <c r="B28" s="7">
        <f>'Operations and Maintenance'!D28</f>
        <v>0</v>
      </c>
      <c r="C28" s="7">
        <f>Safety!D42</f>
        <v>0</v>
      </c>
      <c r="D28" s="7">
        <f>'Travel Time Savings'!D43</f>
        <v>0</v>
      </c>
      <c r="E28" s="7">
        <f>'Vehicle Operating Cost Savings'!D49</f>
        <v>0</v>
      </c>
      <c r="F28" s="21">
        <f>'Emissions Reduction'!S52</f>
        <v>0</v>
      </c>
      <c r="G28" s="21">
        <f>'Emissions Reduction'!T52</f>
        <v>0</v>
      </c>
      <c r="H28" s="21">
        <f>'Other Highway Use Externalities'!B43</f>
        <v>0</v>
      </c>
      <c r="I28" s="7">
        <f>'Amenity Benefits'!B28</f>
        <v>0</v>
      </c>
      <c r="J28" s="7">
        <f>'Health Benefits'!B35</f>
        <v>0</v>
      </c>
      <c r="K28" s="7">
        <f>'Residual Value'!B41</f>
        <v>0</v>
      </c>
      <c r="L28" s="7">
        <f>'Other Benefit 1'!B31</f>
        <v>0</v>
      </c>
      <c r="M28" s="7">
        <f>'Other Benefit 2'!B31</f>
        <v>0</v>
      </c>
      <c r="N28" s="7">
        <f>'Other Benefit 3'!B31</f>
        <v>0</v>
      </c>
      <c r="O28" s="7">
        <f>'Other Benefit 4'!B35</f>
        <v>0</v>
      </c>
      <c r="P28" s="154">
        <f t="shared" si="0"/>
        <v>0</v>
      </c>
      <c r="Q28" s="8">
        <f>IFERROR(((P28-G28)/(1.031)^(A28-Overview!$B$22))+((G28)/(1.02)^(A28-Overview!$B$22)),0)</f>
        <v>0</v>
      </c>
    </row>
    <row r="29" spans="1:17">
      <c r="A29" s="1" t="str">
        <f>IF(A28&lt;'Project Information'!B$10,A28+1,"")</f>
        <v/>
      </c>
      <c r="B29" s="7">
        <f>'Operations and Maintenance'!D29</f>
        <v>0</v>
      </c>
      <c r="C29" s="7">
        <f>Safety!D43</f>
        <v>0</v>
      </c>
      <c r="D29" s="7">
        <f>'Travel Time Savings'!D44</f>
        <v>0</v>
      </c>
      <c r="E29" s="7">
        <f>'Vehicle Operating Cost Savings'!D50</f>
        <v>0</v>
      </c>
      <c r="F29" s="21">
        <f>'Emissions Reduction'!S53</f>
        <v>0</v>
      </c>
      <c r="G29" s="21">
        <f>'Emissions Reduction'!T53</f>
        <v>0</v>
      </c>
      <c r="H29" s="21">
        <f>'Other Highway Use Externalities'!B44</f>
        <v>0</v>
      </c>
      <c r="I29" s="7">
        <f>'Amenity Benefits'!B29</f>
        <v>0</v>
      </c>
      <c r="J29" s="7">
        <f>'Health Benefits'!B36</f>
        <v>0</v>
      </c>
      <c r="K29" s="7">
        <f>'Residual Value'!B42</f>
        <v>0</v>
      </c>
      <c r="L29" s="7">
        <f>'Other Benefit 1'!B32</f>
        <v>0</v>
      </c>
      <c r="M29" s="7">
        <f>'Other Benefit 2'!B32</f>
        <v>0</v>
      </c>
      <c r="N29" s="7">
        <f>'Other Benefit 3'!B32</f>
        <v>0</v>
      </c>
      <c r="O29" s="7">
        <f>'Other Benefit 4'!B36</f>
        <v>0</v>
      </c>
      <c r="P29" s="154">
        <f t="shared" si="0"/>
        <v>0</v>
      </c>
      <c r="Q29" s="8">
        <f>IFERROR(((P29-G29)/(1.031)^(A29-Overview!$B$22))+((G29)/(1.02)^(A29-Overview!$B$22)),0)</f>
        <v>0</v>
      </c>
    </row>
    <row r="30" spans="1:17">
      <c r="A30" s="1" t="str">
        <f>IF(A29&lt;'Project Information'!B$10,A29+1,"")</f>
        <v/>
      </c>
      <c r="B30" s="7">
        <f>'Operations and Maintenance'!D30</f>
        <v>0</v>
      </c>
      <c r="C30" s="7">
        <f>Safety!D44</f>
        <v>0</v>
      </c>
      <c r="D30" s="7">
        <f>'Travel Time Savings'!D45</f>
        <v>0</v>
      </c>
      <c r="E30" s="7">
        <f>'Vehicle Operating Cost Savings'!D51</f>
        <v>0</v>
      </c>
      <c r="F30" s="21">
        <f>'Emissions Reduction'!S54</f>
        <v>0</v>
      </c>
      <c r="G30" s="21">
        <f>'Emissions Reduction'!T54</f>
        <v>0</v>
      </c>
      <c r="H30" s="21">
        <f>'Other Highway Use Externalities'!B45</f>
        <v>0</v>
      </c>
      <c r="I30" s="7">
        <f>'Amenity Benefits'!B30</f>
        <v>0</v>
      </c>
      <c r="J30" s="7">
        <f>'Health Benefits'!B37</f>
        <v>0</v>
      </c>
      <c r="K30" s="7">
        <f>'Residual Value'!B43</f>
        <v>0</v>
      </c>
      <c r="L30" s="7">
        <f>'Other Benefit 1'!B33</f>
        <v>0</v>
      </c>
      <c r="M30" s="7">
        <f>'Other Benefit 2'!B33</f>
        <v>0</v>
      </c>
      <c r="N30" s="7">
        <f>'Other Benefit 3'!B33</f>
        <v>0</v>
      </c>
      <c r="O30" s="7">
        <f>'Other Benefit 4'!B37</f>
        <v>0</v>
      </c>
      <c r="P30" s="154">
        <f t="shared" si="0"/>
        <v>0</v>
      </c>
      <c r="Q30" s="8">
        <f>IFERROR(((P30-G30)/(1.031)^(A30-Overview!$B$22))+((G30)/(1.02)^(A30-Overview!$B$22)),0)</f>
        <v>0</v>
      </c>
    </row>
    <row r="31" spans="1:17">
      <c r="A31" s="1" t="str">
        <f>IF(A30&lt;'Project Information'!B$10,A30+1,"")</f>
        <v/>
      </c>
      <c r="B31" s="7">
        <f>'Operations and Maintenance'!D31</f>
        <v>0</v>
      </c>
      <c r="C31" s="7">
        <f>Safety!D45</f>
        <v>0</v>
      </c>
      <c r="D31" s="7">
        <f>'Travel Time Savings'!D46</f>
        <v>0</v>
      </c>
      <c r="E31" s="7">
        <f>'Vehicle Operating Cost Savings'!D52</f>
        <v>0</v>
      </c>
      <c r="F31" s="21">
        <f>'Emissions Reduction'!S55</f>
        <v>0</v>
      </c>
      <c r="G31" s="21">
        <f>'Emissions Reduction'!T55</f>
        <v>0</v>
      </c>
      <c r="H31" s="21">
        <f>'Other Highway Use Externalities'!B46</f>
        <v>0</v>
      </c>
      <c r="I31" s="7">
        <f>'Amenity Benefits'!B31</f>
        <v>0</v>
      </c>
      <c r="J31" s="7">
        <f>'Health Benefits'!B38</f>
        <v>0</v>
      </c>
      <c r="K31" s="7">
        <f>'Residual Value'!B44</f>
        <v>0</v>
      </c>
      <c r="L31" s="7">
        <f>'Other Benefit 1'!B34</f>
        <v>0</v>
      </c>
      <c r="M31" s="7">
        <f>'Other Benefit 2'!B34</f>
        <v>0</v>
      </c>
      <c r="N31" s="7">
        <f>'Other Benefit 3'!B34</f>
        <v>0</v>
      </c>
      <c r="O31" s="7">
        <f>'Other Benefit 4'!B38</f>
        <v>0</v>
      </c>
      <c r="P31" s="154">
        <f t="shared" si="0"/>
        <v>0</v>
      </c>
      <c r="Q31" s="8">
        <f>IFERROR(((P31-G31)/(1.031)^(A31-Overview!$B$22))+((G31)/(1.02)^(A31-Overview!$B$22)),0)</f>
        <v>0</v>
      </c>
    </row>
    <row r="32" spans="1:17">
      <c r="A32" s="1" t="str">
        <f>IF(A31&lt;'Project Information'!B$10,A31+1,"")</f>
        <v/>
      </c>
      <c r="B32" s="7">
        <f>'Operations and Maintenance'!D32</f>
        <v>0</v>
      </c>
      <c r="C32" s="7">
        <f>Safety!D46</f>
        <v>0</v>
      </c>
      <c r="D32" s="7">
        <f>'Travel Time Savings'!D47</f>
        <v>0</v>
      </c>
      <c r="E32" s="7">
        <f>'Vehicle Operating Cost Savings'!D53</f>
        <v>0</v>
      </c>
      <c r="F32" s="21">
        <f>'Emissions Reduction'!S56</f>
        <v>0</v>
      </c>
      <c r="G32" s="21">
        <f>'Emissions Reduction'!T56</f>
        <v>0</v>
      </c>
      <c r="H32" s="21">
        <f>'Other Highway Use Externalities'!B47</f>
        <v>0</v>
      </c>
      <c r="I32" s="7">
        <f>'Amenity Benefits'!B32</f>
        <v>0</v>
      </c>
      <c r="J32" s="7">
        <f>'Health Benefits'!B39</f>
        <v>0</v>
      </c>
      <c r="K32" s="7">
        <f>'Residual Value'!B45</f>
        <v>0</v>
      </c>
      <c r="L32" s="7">
        <f>'Other Benefit 1'!B35</f>
        <v>0</v>
      </c>
      <c r="M32" s="7">
        <f>'Other Benefit 2'!B35</f>
        <v>0</v>
      </c>
      <c r="N32" s="7">
        <f>'Other Benefit 3'!B35</f>
        <v>0</v>
      </c>
      <c r="O32" s="7">
        <f>'Other Benefit 4'!B39</f>
        <v>0</v>
      </c>
      <c r="P32" s="154">
        <f t="shared" si="0"/>
        <v>0</v>
      </c>
      <c r="Q32" s="8">
        <f>IFERROR(((P32-G32)/(1.031)^(A32-Overview!$B$22))+((G32)/(1.02)^(A32-Overview!$B$22)),0)</f>
        <v>0</v>
      </c>
    </row>
    <row r="33" spans="1:17">
      <c r="A33" s="1" t="str">
        <f>IF(A32&lt;'Project Information'!B$10,A32+1,"")</f>
        <v/>
      </c>
      <c r="B33" s="7">
        <f>'Operations and Maintenance'!D33</f>
        <v>0</v>
      </c>
      <c r="C33" s="7">
        <f>Safety!D47</f>
        <v>0</v>
      </c>
      <c r="D33" s="7">
        <f>'Travel Time Savings'!D48</f>
        <v>0</v>
      </c>
      <c r="E33" s="7">
        <f>'Vehicle Operating Cost Savings'!D54</f>
        <v>0</v>
      </c>
      <c r="F33" s="21">
        <f>'Emissions Reduction'!S57</f>
        <v>0</v>
      </c>
      <c r="G33" s="21">
        <f>'Emissions Reduction'!T57</f>
        <v>0</v>
      </c>
      <c r="H33" s="21">
        <f>'Other Highway Use Externalities'!B48</f>
        <v>0</v>
      </c>
      <c r="I33" s="7">
        <f>'Amenity Benefits'!B33</f>
        <v>0</v>
      </c>
      <c r="J33" s="7">
        <f>'Health Benefits'!B40</f>
        <v>0</v>
      </c>
      <c r="K33" s="7">
        <f>'Residual Value'!B46</f>
        <v>0</v>
      </c>
      <c r="L33" s="7">
        <f>'Other Benefit 1'!B36</f>
        <v>0</v>
      </c>
      <c r="M33" s="7">
        <f>'Other Benefit 2'!B36</f>
        <v>0</v>
      </c>
      <c r="N33" s="7">
        <f>'Other Benefit 3'!B36</f>
        <v>0</v>
      </c>
      <c r="O33" s="7">
        <f>'Other Benefit 4'!B40</f>
        <v>0</v>
      </c>
      <c r="P33" s="154">
        <f t="shared" si="0"/>
        <v>0</v>
      </c>
      <c r="Q33" s="8">
        <f>IFERROR(((P33-G33)/(1.031)^(A33-Overview!$B$22))+((G33)/(1.02)^(A33-Overview!$B$22)),0)</f>
        <v>0</v>
      </c>
    </row>
    <row r="34" spans="1:17">
      <c r="A34" s="1" t="str">
        <f>IF(A33&lt;'Project Information'!B$10,A33+1,"")</f>
        <v/>
      </c>
      <c r="B34" s="7">
        <f>'Operations and Maintenance'!D34</f>
        <v>0</v>
      </c>
      <c r="C34" s="7">
        <f>Safety!D48</f>
        <v>0</v>
      </c>
      <c r="D34" s="7">
        <f>'Travel Time Savings'!D49</f>
        <v>0</v>
      </c>
      <c r="E34" s="7">
        <f>'Vehicle Operating Cost Savings'!D55</f>
        <v>0</v>
      </c>
      <c r="F34" s="21">
        <f>'Emissions Reduction'!S58</f>
        <v>0</v>
      </c>
      <c r="G34" s="21">
        <f>'Emissions Reduction'!T58</f>
        <v>0</v>
      </c>
      <c r="H34" s="21">
        <f>'Other Highway Use Externalities'!B49</f>
        <v>0</v>
      </c>
      <c r="I34" s="7">
        <f>'Amenity Benefits'!B34</f>
        <v>0</v>
      </c>
      <c r="J34" s="7">
        <f>'Health Benefits'!B41</f>
        <v>0</v>
      </c>
      <c r="K34" s="7">
        <f>'Residual Value'!B47</f>
        <v>0</v>
      </c>
      <c r="L34" s="7">
        <f>'Other Benefit 1'!B37</f>
        <v>0</v>
      </c>
      <c r="M34" s="7">
        <f>'Other Benefit 2'!B37</f>
        <v>0</v>
      </c>
      <c r="N34" s="7">
        <f>'Other Benefit 3'!B37</f>
        <v>0</v>
      </c>
      <c r="O34" s="7">
        <f>'Other Benefit 4'!B41</f>
        <v>0</v>
      </c>
      <c r="P34" s="154">
        <f t="shared" si="0"/>
        <v>0</v>
      </c>
      <c r="Q34" s="8">
        <f>IFERROR(((P34-G34)/(1.031)^(A34-Overview!$B$22))+((G34)/(1.02)^(A34-Overview!$B$22)),0)</f>
        <v>0</v>
      </c>
    </row>
    <row r="35" spans="1:17">
      <c r="A35" s="3" t="s">
        <v>328</v>
      </c>
      <c r="B35" s="167">
        <f>SUM(B5:B34)</f>
        <v>116400</v>
      </c>
      <c r="C35" s="167">
        <f t="shared" ref="C35:O35" si="1">SUM(C5:C34)</f>
        <v>78624140</v>
      </c>
      <c r="D35" s="167">
        <f t="shared" si="1"/>
        <v>0</v>
      </c>
      <c r="E35" s="167">
        <f t="shared" si="1"/>
        <v>0</v>
      </c>
      <c r="F35" s="170">
        <f t="shared" si="1"/>
        <v>2206.7137240592056</v>
      </c>
      <c r="G35" s="170">
        <f t="shared" si="1"/>
        <v>19566.195019991719</v>
      </c>
      <c r="H35" s="170">
        <f t="shared" si="1"/>
        <v>0</v>
      </c>
      <c r="I35" s="167">
        <f t="shared" si="1"/>
        <v>199185.08309086764</v>
      </c>
      <c r="J35" s="167">
        <f t="shared" si="1"/>
        <v>2994359.5979092866</v>
      </c>
      <c r="K35" s="167">
        <f t="shared" si="1"/>
        <v>3124633.3870748631</v>
      </c>
      <c r="L35" s="167">
        <f t="shared" si="1"/>
        <v>0</v>
      </c>
      <c r="M35" s="167">
        <f t="shared" si="1"/>
        <v>0</v>
      </c>
      <c r="N35" s="167">
        <f t="shared" si="1"/>
        <v>0</v>
      </c>
      <c r="O35" s="167">
        <f t="shared" si="1"/>
        <v>0</v>
      </c>
      <c r="P35" s="168">
        <f>SUM(P5:P34)</f>
        <v>84847690.976819068</v>
      </c>
      <c r="Q35" s="162"/>
    </row>
    <row r="36" spans="1:17">
      <c r="A36" s="25" t="s">
        <v>329</v>
      </c>
      <c r="B36" s="167">
        <f>NPV(0.031,B5:B34)/(1.031)^($A$5-Overview!$B$22-1)</f>
        <v>67201.078990554015</v>
      </c>
      <c r="C36" s="167">
        <f>NPV(0.031,C5:C34)/(1.031)^($A$5-Overview!$B$22-1)</f>
        <v>45391984.902958579</v>
      </c>
      <c r="D36" s="167">
        <f>NPV(0.031,D5:D34)/(1.031)^($A$5-Overview!$B$22-1)</f>
        <v>0</v>
      </c>
      <c r="E36" s="167">
        <f>NPV(0.031,E5:E34)/(1.031)^($A$5-Overview!$B$22-1)</f>
        <v>0</v>
      </c>
      <c r="F36" s="37">
        <f>NPV(0.031,F5:F34)/(1.031)^($A$5-Overview!$B$22-1)</f>
        <v>1090.6280024162222</v>
      </c>
      <c r="G36" s="37">
        <f>NPV(0.02,G5:G34)/(1.02)^($A$5-Overview!$B$22-1)</f>
        <v>12348.46661390611</v>
      </c>
      <c r="H36" s="37">
        <f>NPV(0.031,H5:H34)/(1.031)^($A$5-Overview!$B$22-1)</f>
        <v>0</v>
      </c>
      <c r="I36" s="167">
        <f>NPV(0.031,I5:I34)/(1.031)^($A$5-Overview!$B$22-1)</f>
        <v>98562.377205757672</v>
      </c>
      <c r="J36" s="167">
        <f>NPV(0.031,J5:J34)/(1.031)^($A$5-Overview!$B$22-1)</f>
        <v>1481693.2854564115</v>
      </c>
      <c r="K36" s="167">
        <f>NPV(0.031,K5:K34)/(1.031)^($A$5-Overview!$B$22-1)</f>
        <v>1329096.2755348186</v>
      </c>
      <c r="L36" s="167">
        <f>NPV(0.031,L5:L34)/(1.031)^($A$5-Overview!$B$22-1)</f>
        <v>0</v>
      </c>
      <c r="M36" s="167">
        <f>NPV(0.031,M5:M34)/(1.031)^($A$5-Overview!$B$22-1)</f>
        <v>0</v>
      </c>
      <c r="N36" s="167">
        <f>NPV(0.031,N5:N34)/(1.031)^($A$5-Overview!$B$22-1)</f>
        <v>0</v>
      </c>
      <c r="O36" s="167">
        <f>NPV(0.031,O5:O34)/(1.031)^($A$5-Overview!$B$22-1)</f>
        <v>0</v>
      </c>
      <c r="P36" s="167">
        <f>NPV(0.031,P5:P34)/(1.031)^($A$5-Overview!$B$22-1)</f>
        <v>48244896.625122175</v>
      </c>
      <c r="Q36" s="162">
        <f>SUM(Q5:Q34)</f>
        <v>48247574.856781304</v>
      </c>
    </row>
    <row r="37" spans="1:17">
      <c r="A37" s="5" t="s">
        <v>20</v>
      </c>
    </row>
    <row r="38" spans="1:17">
      <c r="A38" s="97" t="s">
        <v>330</v>
      </c>
    </row>
    <row r="39" spans="1:17">
      <c r="A39" s="110" t="s">
        <v>222</v>
      </c>
      <c r="B39" s="113" t="s">
        <v>331</v>
      </c>
      <c r="C39" s="108" t="s">
        <v>332</v>
      </c>
    </row>
    <row r="40" spans="1:17">
      <c r="A40" s="120">
        <f>'Capital Costs'!A8</f>
        <v>2030</v>
      </c>
      <c r="B40" s="7">
        <f>'Capital Costs'!C8</f>
        <v>0</v>
      </c>
      <c r="C40" s="18">
        <f>B40/(1.031)^(A40-Overview!$B$22)</f>
        <v>0</v>
      </c>
    </row>
    <row r="41" spans="1:17">
      <c r="A41" s="121">
        <f t="shared" ref="A41:A54" si="2">A40+1</f>
        <v>2031</v>
      </c>
      <c r="B41" s="7">
        <f>'Capital Costs'!C9</f>
        <v>5917866.2633993616</v>
      </c>
      <c r="C41" s="18">
        <f>B41/(1.031)^(A41-Overview!$B$22)</f>
        <v>4635491.8744513988</v>
      </c>
    </row>
    <row r="42" spans="1:17">
      <c r="A42" s="121">
        <f t="shared" si="2"/>
        <v>2032</v>
      </c>
      <c r="B42" s="7">
        <f>'Capital Costs'!C10</f>
        <v>0</v>
      </c>
      <c r="C42" s="18">
        <f>B42/(1.031)^(A42-Overview!$B$22)</f>
        <v>0</v>
      </c>
    </row>
    <row r="43" spans="1:17">
      <c r="A43" s="121">
        <f t="shared" si="2"/>
        <v>2033</v>
      </c>
      <c r="B43" s="7">
        <f>'Capital Costs'!C11</f>
        <v>0</v>
      </c>
      <c r="C43" s="18">
        <f>B43/(1.031)^(A43-Overview!$B$22)</f>
        <v>0</v>
      </c>
    </row>
    <row r="44" spans="1:17">
      <c r="A44" s="121">
        <f t="shared" si="2"/>
        <v>2034</v>
      </c>
      <c r="B44" s="7">
        <f>'Capital Costs'!C12</f>
        <v>0</v>
      </c>
      <c r="C44" s="18">
        <f>B44/(1.031)^(A44-Overview!$B$22)</f>
        <v>0</v>
      </c>
      <c r="D44" s="36"/>
    </row>
    <row r="45" spans="1:17">
      <c r="A45" s="121">
        <f t="shared" si="2"/>
        <v>2035</v>
      </c>
      <c r="B45" s="7">
        <f>'Capital Costs'!C13</f>
        <v>0</v>
      </c>
      <c r="C45" s="18">
        <f>B45/(1.031)^(A45-Overview!$B$22)</f>
        <v>0</v>
      </c>
      <c r="D45" s="36"/>
    </row>
    <row r="46" spans="1:17">
      <c r="A46" s="121">
        <f t="shared" si="2"/>
        <v>2036</v>
      </c>
      <c r="B46" s="7">
        <f>'Capital Costs'!C14</f>
        <v>0</v>
      </c>
      <c r="C46" s="18">
        <f>B46/(1.031)^(A46-Overview!$B$22)</f>
        <v>0</v>
      </c>
      <c r="D46" s="36"/>
    </row>
    <row r="47" spans="1:17">
      <c r="A47" s="121">
        <f t="shared" si="2"/>
        <v>2037</v>
      </c>
      <c r="B47" s="7">
        <f>'Capital Costs'!C15</f>
        <v>0</v>
      </c>
      <c r="C47" s="18">
        <f>B47/(1.031)^(A47-Overview!$B$22)</f>
        <v>0</v>
      </c>
      <c r="D47" s="36"/>
    </row>
    <row r="48" spans="1:17">
      <c r="A48" s="121">
        <f t="shared" si="2"/>
        <v>2038</v>
      </c>
      <c r="B48" s="7">
        <f>'Capital Costs'!C16</f>
        <v>0</v>
      </c>
      <c r="C48" s="18">
        <f>B48/(1.031)^(A48-Overview!$B$22)</f>
        <v>0</v>
      </c>
      <c r="D48" s="36"/>
    </row>
    <row r="49" spans="1:4">
      <c r="A49" s="121">
        <f t="shared" si="2"/>
        <v>2039</v>
      </c>
      <c r="B49" s="7">
        <f>'Capital Costs'!C17</f>
        <v>0</v>
      </c>
      <c r="C49" s="18">
        <f>B49/(1.031)^(A49-Overview!$B$22)</f>
        <v>0</v>
      </c>
    </row>
    <row r="50" spans="1:4">
      <c r="A50" s="121">
        <f t="shared" si="2"/>
        <v>2040</v>
      </c>
      <c r="B50" s="7">
        <f>'Capital Costs'!C18</f>
        <v>0</v>
      </c>
      <c r="C50" s="18">
        <f>B50/(1.031)^(A50-Overview!$B$22)</f>
        <v>0</v>
      </c>
    </row>
    <row r="51" spans="1:4">
      <c r="A51" s="121">
        <f t="shared" si="2"/>
        <v>2041</v>
      </c>
      <c r="B51" s="7">
        <f>'Capital Costs'!C19</f>
        <v>0</v>
      </c>
      <c r="C51" s="18">
        <f>B51/(1.031)^(A51-Overview!$B$22)</f>
        <v>0</v>
      </c>
    </row>
    <row r="52" spans="1:4">
      <c r="A52" s="121">
        <f t="shared" si="2"/>
        <v>2042</v>
      </c>
      <c r="B52" s="7">
        <f>'Capital Costs'!C20</f>
        <v>0</v>
      </c>
      <c r="C52" s="18">
        <f>B52/(1.031)^(A52-Overview!$B$22)</f>
        <v>0</v>
      </c>
    </row>
    <row r="53" spans="1:4">
      <c r="A53" s="121">
        <f t="shared" si="2"/>
        <v>2043</v>
      </c>
      <c r="B53" s="7">
        <f>'Capital Costs'!C21</f>
        <v>0</v>
      </c>
      <c r="C53" s="18">
        <f>B53/(1.031)^(A53-Overview!$B$22)</f>
        <v>0</v>
      </c>
    </row>
    <row r="54" spans="1:4">
      <c r="A54" s="121">
        <f t="shared" si="2"/>
        <v>2044</v>
      </c>
      <c r="B54" s="7">
        <f>'Capital Costs'!C22</f>
        <v>0</v>
      </c>
      <c r="C54" s="18">
        <f>B54/(1.031)^(A54-Overview!$B$22)</f>
        <v>0</v>
      </c>
    </row>
    <row r="55" spans="1:4">
      <c r="A55" s="25" t="s">
        <v>333</v>
      </c>
      <c r="B55" s="167">
        <f>SUM(B40:B54)</f>
        <v>5917866.2633993616</v>
      </c>
      <c r="C55" s="169">
        <f>SUM(C40:C54)+'Capital Costs'!A4</f>
        <v>4635491.8744513988</v>
      </c>
      <c r="D55" s="36"/>
    </row>
    <row r="56" spans="1:4">
      <c r="C56" s="36"/>
      <c r="D56" s="36"/>
    </row>
    <row r="57" spans="1:4">
      <c r="C57" s="36"/>
      <c r="D57" s="36"/>
    </row>
    <row r="58" spans="1:4">
      <c r="C58" s="36"/>
      <c r="D58" s="36"/>
    </row>
    <row r="59" spans="1:4">
      <c r="C59" s="36"/>
      <c r="D59" s="36"/>
    </row>
    <row r="60" spans="1:4">
      <c r="C60" s="36"/>
      <c r="D60" s="36"/>
    </row>
    <row r="61" spans="1:4">
      <c r="C61" s="36"/>
      <c r="D61" s="36"/>
    </row>
    <row r="62" spans="1:4">
      <c r="D62" s="36"/>
    </row>
    <row r="64" spans="1:4">
      <c r="C64" s="29"/>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B8"/>
  <sheetViews>
    <sheetView workbookViewId="0">
      <selection activeCell="F16" sqref="F16"/>
    </sheetView>
  </sheetViews>
  <sheetFormatPr defaultColWidth="8.7109375" defaultRowHeight="15"/>
  <cols>
    <col min="1" max="1" width="41.28515625" style="5" customWidth="1"/>
    <col min="2" max="2" width="31.42578125" style="5" customWidth="1"/>
    <col min="3" max="16384" width="8.7109375" style="5"/>
  </cols>
  <sheetData>
    <row r="1" spans="1:2" ht="20.25" thickBot="1">
      <c r="A1" s="96" t="s">
        <v>334</v>
      </c>
    </row>
    <row r="2" spans="1:2" ht="19.5" thickTop="1">
      <c r="A2" s="104" t="s">
        <v>20</v>
      </c>
    </row>
    <row r="3" spans="1:2">
      <c r="A3" s="97" t="s">
        <v>335</v>
      </c>
    </row>
    <row r="4" spans="1:2">
      <c r="A4" s="106" t="s">
        <v>49</v>
      </c>
      <c r="B4" s="106" t="s">
        <v>23</v>
      </c>
    </row>
    <row r="5" spans="1:2">
      <c r="A5" s="98" t="s">
        <v>327</v>
      </c>
      <c r="B5" s="105">
        <f>Summary!Q36</f>
        <v>48247574.856781304</v>
      </c>
    </row>
    <row r="6" spans="1:2">
      <c r="A6" s="98" t="s">
        <v>336</v>
      </c>
      <c r="B6" s="105">
        <f>Summary!C55</f>
        <v>4635491.8744513988</v>
      </c>
    </row>
    <row r="7" spans="1:2">
      <c r="A7" s="98" t="s">
        <v>337</v>
      </c>
      <c r="B7" s="105">
        <f>B5-B6</f>
        <v>43612082.982329905</v>
      </c>
    </row>
    <row r="8" spans="1:2">
      <c r="A8" s="98" t="s">
        <v>338</v>
      </c>
      <c r="B8" s="144">
        <f>IFERROR(B5/B6, "Enter Costs in 'Capital Cost' sheet")</f>
        <v>10.408296716622184</v>
      </c>
    </row>
  </sheetData>
  <conditionalFormatting sqref="A4:B4">
    <cfRule type="expression" dxfId="0" priority="1">
      <formula>ISNUMBER(SEARCH("_sns",A$4))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7A3D-A386-4F73-A61D-477FCB4975B3}">
  <dimension ref="A2:AD63"/>
  <sheetViews>
    <sheetView zoomScale="90" zoomScaleNormal="90" workbookViewId="0">
      <selection activeCell="D22" sqref="D22"/>
    </sheetView>
  </sheetViews>
  <sheetFormatPr defaultColWidth="9.140625" defaultRowHeight="12.75"/>
  <cols>
    <col min="1" max="1" width="32.5703125" style="183" bestFit="1" customWidth="1"/>
    <col min="2" max="3" width="12.140625" style="183" customWidth="1"/>
    <col min="4" max="4" width="16.140625" style="183" bestFit="1" customWidth="1"/>
    <col min="5" max="5" width="16.140625" style="183" customWidth="1"/>
    <col min="6" max="6" width="14.28515625" style="183" bestFit="1" customWidth="1"/>
    <col min="7" max="7" width="19.28515625" style="183" customWidth="1"/>
    <col min="8" max="8" width="14.28515625" style="183" bestFit="1" customWidth="1"/>
    <col min="9" max="9" width="17" style="183" bestFit="1" customWidth="1"/>
    <col min="10" max="10" width="14.5703125" style="183" bestFit="1" customWidth="1"/>
    <col min="11" max="12" width="16.28515625" style="183" bestFit="1" customWidth="1"/>
    <col min="13" max="15" width="16" style="183" customWidth="1"/>
    <col min="16" max="16" width="14.28515625" style="183" bestFit="1" customWidth="1"/>
    <col min="17" max="17" width="14.5703125" style="183" bestFit="1" customWidth="1"/>
    <col min="18" max="18" width="14.28515625" style="183" bestFit="1" customWidth="1"/>
    <col min="19" max="19" width="14.28515625" style="183" customWidth="1"/>
    <col min="20" max="20" width="14" style="183" bestFit="1" customWidth="1"/>
    <col min="21" max="21" width="14.5703125" style="183" bestFit="1" customWidth="1"/>
    <col min="22" max="22" width="14.28515625" style="183" bestFit="1" customWidth="1"/>
    <col min="23" max="24" width="15.5703125" style="183" bestFit="1" customWidth="1"/>
    <col min="25" max="25" width="15.7109375" style="183" customWidth="1"/>
    <col min="26" max="26" width="15.140625" style="183" customWidth="1"/>
    <col min="27" max="27" width="12" style="183" customWidth="1"/>
    <col min="28" max="29" width="12.7109375" style="183" customWidth="1"/>
    <col min="30" max="30" width="13.42578125" style="183" customWidth="1"/>
    <col min="31" max="31" width="13.28515625" style="183" customWidth="1"/>
    <col min="32" max="32" width="12" style="183" customWidth="1"/>
    <col min="33" max="33" width="12.42578125" style="183" customWidth="1"/>
    <col min="34" max="34" width="11.140625" style="183" customWidth="1"/>
    <col min="35" max="35" width="12" style="183" customWidth="1"/>
    <col min="36" max="36" width="12.42578125" style="183" customWidth="1"/>
    <col min="37" max="37" width="12" style="183" customWidth="1"/>
    <col min="38" max="38" width="11.28515625" style="183" customWidth="1"/>
    <col min="39" max="39" width="12" style="183" customWidth="1"/>
    <col min="40" max="40" width="11" style="183" customWidth="1"/>
    <col min="41" max="41" width="10.85546875" style="183" customWidth="1"/>
    <col min="42" max="42" width="11.7109375" style="183" customWidth="1"/>
    <col min="43" max="43" width="12.140625" style="183" customWidth="1"/>
    <col min="44" max="44" width="13.85546875" style="183" customWidth="1"/>
    <col min="45" max="45" width="14" style="183" customWidth="1"/>
    <col min="46" max="46" width="12.140625" style="183" customWidth="1"/>
    <col min="47" max="47" width="9.7109375" style="183" customWidth="1"/>
    <col min="48" max="48" width="13.42578125" style="183" customWidth="1"/>
    <col min="49" max="49" width="12.42578125" style="183" customWidth="1"/>
    <col min="50" max="50" width="12.28515625" style="183" customWidth="1"/>
    <col min="51" max="51" width="9.28515625" style="183" customWidth="1"/>
    <col min="52" max="52" width="11" style="183" customWidth="1"/>
    <col min="53" max="53" width="63.140625" style="183" customWidth="1"/>
    <col min="54" max="54" width="18.5703125" style="183" bestFit="1" customWidth="1"/>
    <col min="55" max="55" width="15.5703125" style="183" customWidth="1"/>
    <col min="56" max="56" width="13.85546875" style="183" customWidth="1"/>
    <col min="57" max="57" width="11.28515625" style="183" customWidth="1"/>
    <col min="58" max="60" width="11.140625" style="183" customWidth="1"/>
    <col min="61" max="61" width="12.28515625" style="183" customWidth="1"/>
    <col min="62" max="62" width="16.42578125" style="183" customWidth="1"/>
    <col min="63" max="63" width="13.7109375" style="183" bestFit="1" customWidth="1"/>
    <col min="64" max="64" width="6.140625" style="183" customWidth="1"/>
    <col min="65" max="65" width="13.42578125" style="183" customWidth="1"/>
    <col min="66" max="66" width="16" style="183" customWidth="1"/>
    <col min="67" max="67" width="9" style="183" customWidth="1"/>
    <col min="68" max="68" width="10.85546875" style="183" customWidth="1"/>
    <col min="69" max="69" width="8.5703125" style="183" customWidth="1"/>
    <col min="70" max="70" width="12.42578125" style="183" bestFit="1" customWidth="1"/>
    <col min="71" max="71" width="8" style="183" bestFit="1" customWidth="1"/>
    <col min="72" max="72" width="8.7109375" style="183" bestFit="1" customWidth="1"/>
    <col min="73" max="73" width="14.5703125" style="183" bestFit="1" customWidth="1"/>
    <col min="74" max="74" width="17.140625" style="183" bestFit="1" customWidth="1"/>
    <col min="75" max="16384" width="9.140625" style="183"/>
  </cols>
  <sheetData>
    <row r="2" spans="1:22">
      <c r="A2" s="399" t="s">
        <v>824</v>
      </c>
      <c r="B2" s="400"/>
      <c r="C2" s="400"/>
      <c r="D2" s="400"/>
      <c r="E2" s="400"/>
      <c r="F2" s="400"/>
      <c r="G2" s="400"/>
      <c r="H2" s="184"/>
      <c r="I2" s="184"/>
      <c r="J2" s="184"/>
      <c r="K2" s="184"/>
      <c r="L2" s="184"/>
      <c r="M2" s="185"/>
    </row>
    <row r="3" spans="1:22" ht="13.5" thickBot="1">
      <c r="A3" s="186"/>
      <c r="B3" s="187" t="s">
        <v>472</v>
      </c>
      <c r="C3" s="344"/>
      <c r="D3" s="187" t="s">
        <v>448</v>
      </c>
      <c r="E3" s="187" t="s">
        <v>566</v>
      </c>
      <c r="F3" s="187" t="s">
        <v>449</v>
      </c>
      <c r="G3" s="187" t="s">
        <v>450</v>
      </c>
      <c r="H3" s="187" t="s">
        <v>451</v>
      </c>
      <c r="I3" s="187" t="s">
        <v>452</v>
      </c>
      <c r="J3" s="187" t="s">
        <v>453</v>
      </c>
      <c r="K3" s="187" t="s">
        <v>454</v>
      </c>
      <c r="L3" s="187" t="s">
        <v>614</v>
      </c>
      <c r="M3" s="188" t="s">
        <v>456</v>
      </c>
      <c r="N3" s="277"/>
      <c r="O3" s="277"/>
      <c r="P3" s="277"/>
      <c r="Q3" s="277"/>
      <c r="R3" s="277"/>
      <c r="S3" s="277"/>
      <c r="T3" s="277"/>
      <c r="U3" s="277"/>
      <c r="V3" s="277"/>
    </row>
    <row r="4" spans="1:22" ht="15">
      <c r="A4" s="394">
        <v>121.1</v>
      </c>
      <c r="B4" s="336">
        <v>5060</v>
      </c>
      <c r="C4" s="315"/>
      <c r="D4" s="337">
        <v>2370</v>
      </c>
      <c r="E4" s="337"/>
      <c r="F4" s="380">
        <v>1838</v>
      </c>
      <c r="G4" s="337">
        <v>180</v>
      </c>
      <c r="H4" s="337">
        <v>31</v>
      </c>
      <c r="I4" s="337">
        <v>0</v>
      </c>
      <c r="J4" s="337">
        <v>0</v>
      </c>
      <c r="K4" s="337">
        <v>33</v>
      </c>
      <c r="L4" s="337">
        <v>10</v>
      </c>
      <c r="M4" s="338">
        <v>278</v>
      </c>
      <c r="N4" s="190"/>
      <c r="O4" s="190"/>
      <c r="P4" s="190"/>
      <c r="Q4" s="190"/>
      <c r="R4" s="190"/>
      <c r="S4" s="190"/>
      <c r="T4" s="190"/>
      <c r="U4" s="190"/>
      <c r="V4" s="190"/>
    </row>
    <row r="5" spans="1:22" ht="15">
      <c r="A5" s="334">
        <v>120.08</v>
      </c>
      <c r="B5" s="336">
        <v>6709</v>
      </c>
      <c r="C5" s="315"/>
      <c r="D5" s="337">
        <v>3947</v>
      </c>
      <c r="E5" s="337"/>
      <c r="F5" s="381">
        <v>3000</v>
      </c>
      <c r="G5" s="337">
        <v>322</v>
      </c>
      <c r="H5" s="337">
        <v>0</v>
      </c>
      <c r="I5" s="337">
        <v>0</v>
      </c>
      <c r="J5" s="337">
        <v>0</v>
      </c>
      <c r="K5" s="337">
        <v>92</v>
      </c>
      <c r="L5" s="337">
        <v>31</v>
      </c>
      <c r="M5" s="338">
        <v>502</v>
      </c>
      <c r="N5" s="190"/>
      <c r="O5" s="190"/>
      <c r="P5" s="190"/>
      <c r="Q5" s="190"/>
      <c r="R5" s="190"/>
      <c r="S5" s="190"/>
      <c r="T5" s="190"/>
      <c r="U5" s="190"/>
      <c r="V5" s="190"/>
    </row>
    <row r="6" spans="1:22" ht="15">
      <c r="A6" s="340"/>
      <c r="B6" s="315"/>
      <c r="C6" s="315"/>
      <c r="D6" s="310"/>
      <c r="E6" s="365"/>
      <c r="F6" s="351"/>
      <c r="G6" s="310"/>
      <c r="H6" s="310"/>
      <c r="I6" s="310"/>
      <c r="J6" s="310"/>
      <c r="K6" s="310"/>
      <c r="L6" s="310"/>
      <c r="M6" s="339"/>
      <c r="N6" s="190"/>
      <c r="O6" s="190"/>
      <c r="P6" s="190"/>
      <c r="Q6" s="190"/>
      <c r="R6" s="190"/>
      <c r="S6" s="190"/>
      <c r="T6" s="190"/>
      <c r="U6" s="190"/>
      <c r="V6" s="190"/>
    </row>
    <row r="7" spans="1:22" ht="15">
      <c r="A7" s="343" t="s">
        <v>566</v>
      </c>
      <c r="E7" s="366">
        <v>34000</v>
      </c>
      <c r="F7" s="315"/>
      <c r="G7" s="310"/>
      <c r="H7" s="310"/>
      <c r="I7" s="310"/>
      <c r="J7" s="310"/>
      <c r="K7" s="310"/>
      <c r="L7" s="310"/>
      <c r="M7" s="339"/>
      <c r="N7" s="190"/>
      <c r="O7" s="190"/>
      <c r="P7" s="190"/>
      <c r="Q7" s="190"/>
      <c r="R7" s="190"/>
      <c r="S7" s="190"/>
      <c r="T7" s="190"/>
      <c r="U7" s="190"/>
      <c r="V7" s="190"/>
    </row>
    <row r="8" spans="1:22" ht="15">
      <c r="A8" s="345"/>
      <c r="E8" s="367"/>
      <c r="F8" s="310"/>
      <c r="G8" s="310"/>
      <c r="H8" s="310"/>
      <c r="I8" s="310"/>
      <c r="J8" s="310"/>
      <c r="K8" s="310"/>
      <c r="L8" s="310"/>
      <c r="M8" s="339"/>
      <c r="N8" s="190"/>
      <c r="O8" s="190"/>
      <c r="P8" s="190"/>
      <c r="Q8" s="190"/>
      <c r="R8" s="190"/>
      <c r="S8" s="190"/>
      <c r="T8" s="190"/>
      <c r="U8" s="190"/>
      <c r="V8" s="190"/>
    </row>
    <row r="9" spans="1:22" ht="15">
      <c r="A9" s="343" t="s">
        <v>576</v>
      </c>
      <c r="D9" s="190"/>
      <c r="E9" s="366">
        <v>28000</v>
      </c>
      <c r="F9" s="190"/>
      <c r="G9" s="190"/>
      <c r="H9" s="190"/>
      <c r="I9" s="190"/>
      <c r="J9" s="190"/>
      <c r="K9" s="190"/>
      <c r="L9" s="190"/>
      <c r="M9" s="191"/>
      <c r="N9" s="190"/>
      <c r="O9" s="190"/>
      <c r="P9" s="190"/>
      <c r="Q9" s="190"/>
      <c r="R9" s="190"/>
      <c r="S9" s="190"/>
      <c r="T9" s="190"/>
      <c r="U9" s="190"/>
      <c r="V9" s="190"/>
    </row>
    <row r="10" spans="1:22" ht="15">
      <c r="A10" s="343" t="s">
        <v>577</v>
      </c>
      <c r="D10" s="190"/>
      <c r="E10" s="366">
        <v>26000</v>
      </c>
      <c r="G10" s="190"/>
      <c r="H10" s="190"/>
      <c r="I10" s="190"/>
      <c r="J10" s="190"/>
      <c r="K10" s="190"/>
      <c r="L10" s="190"/>
      <c r="M10" s="191"/>
      <c r="N10" s="190"/>
      <c r="O10" s="190"/>
      <c r="P10" s="190"/>
      <c r="Q10" s="190"/>
      <c r="R10" s="190"/>
      <c r="S10" s="190"/>
      <c r="T10" s="190"/>
      <c r="U10" s="190"/>
      <c r="V10" s="190"/>
    </row>
    <row r="11" spans="1:22" ht="15">
      <c r="A11" s="343" t="s">
        <v>578</v>
      </c>
      <c r="D11" s="190"/>
      <c r="E11" s="366">
        <v>28000</v>
      </c>
      <c r="G11" s="190"/>
      <c r="H11" s="190"/>
      <c r="I11" s="190"/>
      <c r="J11" s="190"/>
      <c r="K11" s="190"/>
      <c r="L11" s="190"/>
      <c r="M11" s="191"/>
      <c r="N11" s="190"/>
      <c r="O11" s="190"/>
      <c r="P11" s="190"/>
      <c r="Q11" s="190"/>
      <c r="R11" s="190"/>
      <c r="S11" s="190"/>
      <c r="T11" s="190"/>
      <c r="U11" s="190"/>
      <c r="V11" s="190"/>
    </row>
    <row r="12" spans="1:22" ht="15">
      <c r="A12" s="343" t="s">
        <v>579</v>
      </c>
      <c r="D12" s="190"/>
      <c r="E12" s="366">
        <v>26000</v>
      </c>
      <c r="G12" s="190"/>
      <c r="H12" s="190"/>
      <c r="I12" s="190"/>
      <c r="J12" s="190"/>
      <c r="K12" s="190"/>
      <c r="L12" s="190"/>
      <c r="M12" s="191"/>
      <c r="N12" s="190"/>
      <c r="O12" s="190"/>
      <c r="P12" s="190"/>
      <c r="Q12" s="190"/>
      <c r="R12" s="190"/>
      <c r="S12" s="190"/>
      <c r="T12" s="190"/>
      <c r="U12" s="190"/>
      <c r="V12" s="190"/>
    </row>
    <row r="13" spans="1:22" ht="15">
      <c r="A13" s="343" t="s">
        <v>580</v>
      </c>
      <c r="D13" s="190"/>
      <c r="E13" s="366">
        <v>26000</v>
      </c>
      <c r="G13" s="190"/>
      <c r="H13" s="190"/>
      <c r="I13" s="190"/>
      <c r="J13" s="190"/>
      <c r="K13" s="190"/>
      <c r="L13" s="190"/>
      <c r="M13" s="191"/>
      <c r="N13" s="190"/>
      <c r="O13" s="190"/>
      <c r="P13" s="190"/>
      <c r="Q13" s="190"/>
      <c r="R13" s="190"/>
      <c r="S13" s="190"/>
      <c r="T13" s="190"/>
      <c r="U13" s="190"/>
      <c r="V13" s="190"/>
    </row>
    <row r="14" spans="1:22" ht="15">
      <c r="A14" s="343" t="s">
        <v>581</v>
      </c>
      <c r="D14" s="190"/>
      <c r="E14" s="366">
        <v>29000</v>
      </c>
      <c r="F14" s="190"/>
      <c r="G14" s="190"/>
      <c r="H14" s="190"/>
      <c r="I14" s="190"/>
      <c r="J14" s="190"/>
      <c r="K14" s="190"/>
      <c r="L14" s="190"/>
      <c r="M14" s="191"/>
      <c r="N14" s="190"/>
      <c r="O14" s="190"/>
      <c r="P14" s="190"/>
      <c r="Q14" s="190"/>
      <c r="R14" s="190"/>
      <c r="S14" s="190"/>
      <c r="T14" s="190"/>
      <c r="U14" s="190"/>
      <c r="V14" s="190"/>
    </row>
    <row r="15" spans="1:22" ht="15">
      <c r="A15" s="343" t="s">
        <v>582</v>
      </c>
      <c r="D15" s="190"/>
      <c r="E15" s="366">
        <v>30000</v>
      </c>
      <c r="F15" s="190"/>
      <c r="G15" s="190"/>
      <c r="H15" s="190"/>
      <c r="I15" s="190"/>
      <c r="J15" s="190"/>
      <c r="K15" s="190"/>
      <c r="L15" s="190"/>
      <c r="M15" s="191"/>
      <c r="N15" s="373"/>
      <c r="O15" s="190"/>
      <c r="P15" s="190"/>
      <c r="Q15" s="190"/>
      <c r="R15" s="190"/>
      <c r="S15" s="190"/>
      <c r="T15" s="190"/>
      <c r="U15" s="190"/>
      <c r="V15" s="190"/>
    </row>
    <row r="16" spans="1:22" ht="15">
      <c r="A16" s="343" t="s">
        <v>583</v>
      </c>
      <c r="D16" s="190"/>
      <c r="E16" s="366">
        <v>32000</v>
      </c>
      <c r="F16" s="190"/>
      <c r="G16" s="190"/>
      <c r="H16" s="190"/>
      <c r="I16" s="190"/>
      <c r="J16" s="190"/>
      <c r="K16" s="190"/>
      <c r="L16" s="190"/>
      <c r="M16" s="191"/>
      <c r="N16" s="190"/>
      <c r="O16" s="190"/>
      <c r="P16" s="190"/>
      <c r="Q16" s="190"/>
      <c r="R16" s="190"/>
      <c r="S16" s="190"/>
      <c r="T16" s="190"/>
      <c r="U16" s="190"/>
      <c r="V16" s="190"/>
    </row>
    <row r="17" spans="1:27" ht="15">
      <c r="A17" s="343" t="s">
        <v>584</v>
      </c>
      <c r="D17" s="190"/>
      <c r="E17" s="366">
        <v>33500</v>
      </c>
      <c r="F17" s="190"/>
      <c r="G17" s="190"/>
      <c r="H17" s="190"/>
      <c r="I17" s="190"/>
      <c r="J17" s="190"/>
      <c r="K17" s="190"/>
      <c r="L17" s="190"/>
      <c r="M17" s="191"/>
      <c r="N17" s="190"/>
      <c r="O17" s="190"/>
      <c r="P17" s="190"/>
      <c r="Q17" s="190"/>
      <c r="R17" s="190"/>
      <c r="S17" s="190"/>
      <c r="T17" s="190"/>
      <c r="U17" s="190"/>
      <c r="V17" s="190"/>
    </row>
    <row r="18" spans="1:27" ht="15">
      <c r="A18" s="343" t="s">
        <v>585</v>
      </c>
      <c r="D18" s="190"/>
      <c r="E18" s="366">
        <v>34000</v>
      </c>
      <c r="F18" s="190"/>
      <c r="G18" s="190"/>
      <c r="H18" s="190"/>
      <c r="I18" s="190"/>
      <c r="J18" s="190"/>
      <c r="K18" s="190"/>
      <c r="L18" s="190"/>
      <c r="M18" s="191"/>
      <c r="N18" s="190"/>
      <c r="O18" s="190"/>
      <c r="P18" s="190"/>
      <c r="Q18" s="190"/>
      <c r="R18" s="190"/>
      <c r="S18" s="190"/>
      <c r="T18" s="190"/>
      <c r="U18" s="190"/>
      <c r="V18" s="190"/>
    </row>
    <row r="19" spans="1:27">
      <c r="A19" s="222" t="s">
        <v>586</v>
      </c>
      <c r="B19" s="190"/>
      <c r="C19" s="190"/>
      <c r="D19" s="190"/>
      <c r="E19" s="374">
        <f>(E18-E9)/21</f>
        <v>285.71428571428572</v>
      </c>
      <c r="F19" s="190"/>
      <c r="G19" s="190"/>
      <c r="H19" s="190"/>
      <c r="I19" s="190"/>
      <c r="J19" s="190"/>
      <c r="K19" s="190"/>
      <c r="L19" s="190"/>
      <c r="M19" s="191"/>
      <c r="N19" s="190"/>
      <c r="O19" s="190"/>
      <c r="P19" s="190"/>
      <c r="Q19" s="190"/>
      <c r="R19" s="190"/>
      <c r="S19" s="190"/>
      <c r="T19" s="190"/>
      <c r="U19" s="190"/>
      <c r="V19" s="190"/>
    </row>
    <row r="20" spans="1:27">
      <c r="A20" s="192" t="s">
        <v>333</v>
      </c>
      <c r="B20" s="193">
        <f>SUM(B4:B19)</f>
        <v>11769</v>
      </c>
      <c r="C20" s="193"/>
      <c r="D20" s="193">
        <f>SUM(D4:D19)</f>
        <v>6317</v>
      </c>
      <c r="E20" s="193">
        <f>E7</f>
        <v>34000</v>
      </c>
      <c r="F20" s="372">
        <f>SUM(F4:F19)</f>
        <v>4838</v>
      </c>
      <c r="G20" s="193">
        <f t="shared" ref="G20:I20" si="0">SUM(G4:G19)</f>
        <v>502</v>
      </c>
      <c r="H20" s="193">
        <f t="shared" si="0"/>
        <v>31</v>
      </c>
      <c r="I20" s="193">
        <f t="shared" si="0"/>
        <v>0</v>
      </c>
      <c r="J20" s="193">
        <f>SUM(J4:J19)</f>
        <v>0</v>
      </c>
      <c r="K20" s="193">
        <f>SUM(K4:K19)</f>
        <v>125</v>
      </c>
      <c r="L20" s="193">
        <f>SUM(L4:L19)</f>
        <v>41</v>
      </c>
      <c r="M20" s="194">
        <f>SUM(M4:M19)</f>
        <v>780</v>
      </c>
      <c r="N20" s="193"/>
      <c r="O20" s="193"/>
      <c r="P20" s="193"/>
      <c r="Q20" s="193"/>
      <c r="R20" s="193"/>
      <c r="S20" s="193"/>
      <c r="T20" s="193"/>
      <c r="U20" s="193"/>
      <c r="V20" s="193"/>
    </row>
    <row r="21" spans="1:27">
      <c r="A21" s="195" t="s">
        <v>457</v>
      </c>
      <c r="B21" s="196"/>
      <c r="C21" s="196"/>
      <c r="D21" s="197">
        <f>D20-M20</f>
        <v>5537</v>
      </c>
      <c r="E21" s="197"/>
      <c r="F21" s="198"/>
      <c r="G21" s="198"/>
      <c r="H21" s="198"/>
      <c r="I21" s="198"/>
      <c r="J21" s="198"/>
      <c r="K21" s="198"/>
      <c r="L21" s="198"/>
      <c r="M21" s="198"/>
      <c r="N21" s="198"/>
      <c r="O21" s="198"/>
      <c r="P21" s="198"/>
      <c r="Q21" s="198"/>
      <c r="R21" s="198"/>
      <c r="S21" s="198"/>
      <c r="T21" s="198"/>
      <c r="U21" s="198"/>
      <c r="V21" s="198"/>
    </row>
    <row r="22" spans="1:27">
      <c r="A22" s="199" t="s">
        <v>458</v>
      </c>
      <c r="D22" s="200">
        <f>D20/$D$20</f>
        <v>1</v>
      </c>
      <c r="E22" s="200"/>
      <c r="F22" s="200">
        <f t="shared" ref="F22:M22" si="1">F20/$D$20</f>
        <v>0.76586987494063641</v>
      </c>
      <c r="G22" s="200">
        <f t="shared" si="1"/>
        <v>7.9468101947126807E-2</v>
      </c>
      <c r="H22" s="200">
        <f t="shared" si="1"/>
        <v>4.9073927497229695E-3</v>
      </c>
      <c r="I22" s="200">
        <f t="shared" si="1"/>
        <v>0</v>
      </c>
      <c r="J22" s="200">
        <f t="shared" si="1"/>
        <v>0</v>
      </c>
      <c r="K22" s="273">
        <f t="shared" si="1"/>
        <v>1.9787873990818425E-2</v>
      </c>
      <c r="L22" s="200">
        <f t="shared" si="1"/>
        <v>6.4904226689884437E-3</v>
      </c>
      <c r="M22" s="201">
        <f t="shared" si="1"/>
        <v>0.12347633370270698</v>
      </c>
      <c r="N22" s="200"/>
      <c r="O22" s="200"/>
      <c r="P22" s="200"/>
      <c r="Q22" s="200"/>
      <c r="R22" s="200"/>
      <c r="S22" s="200"/>
      <c r="T22" s="200"/>
      <c r="U22" s="200"/>
      <c r="V22" s="200"/>
    </row>
    <row r="23" spans="1:27">
      <c r="A23" s="202"/>
      <c r="F23" s="200"/>
      <c r="G23" s="200"/>
      <c r="H23" s="200"/>
      <c r="I23" s="200"/>
      <c r="J23" s="200"/>
      <c r="K23" s="200"/>
      <c r="L23" s="200"/>
      <c r="M23" s="201"/>
      <c r="N23" s="200"/>
      <c r="O23" s="200"/>
      <c r="P23" s="200"/>
      <c r="Q23" s="200"/>
      <c r="R23" s="200"/>
      <c r="S23" s="200"/>
      <c r="T23" s="200"/>
      <c r="U23" s="200"/>
      <c r="V23" s="200"/>
    </row>
    <row r="24" spans="1:27">
      <c r="A24" s="368" t="s">
        <v>807</v>
      </c>
      <c r="B24" s="204"/>
      <c r="C24" s="204"/>
      <c r="D24" s="204"/>
      <c r="E24" s="204"/>
      <c r="F24" s="204"/>
      <c r="G24" s="204"/>
      <c r="H24" s="204"/>
      <c r="I24" s="204"/>
      <c r="J24" s="204"/>
      <c r="K24" s="204"/>
      <c r="L24" s="204"/>
      <c r="M24" s="205"/>
    </row>
    <row r="25" spans="1:27">
      <c r="A25" s="206"/>
      <c r="E25" s="183" t="s">
        <v>567</v>
      </c>
    </row>
    <row r="26" spans="1:27">
      <c r="P26" s="183" t="s">
        <v>819</v>
      </c>
      <c r="Z26" s="184"/>
    </row>
    <row r="29" spans="1:27">
      <c r="B29" s="207" t="s">
        <v>460</v>
      </c>
      <c r="C29" s="278"/>
      <c r="D29" s="278"/>
      <c r="E29" s="278"/>
      <c r="F29" s="371">
        <v>1.2999999999999999E-2</v>
      </c>
    </row>
    <row r="30" spans="1:27" ht="14.45" customHeight="1">
      <c r="A30" s="208"/>
      <c r="B30" s="208"/>
      <c r="C30" s="208"/>
      <c r="D30" s="401" t="s">
        <v>461</v>
      </c>
      <c r="E30" s="402"/>
      <c r="F30" s="402"/>
      <c r="G30" s="402"/>
      <c r="H30" s="402"/>
      <c r="I30" s="402"/>
      <c r="J30" s="402"/>
      <c r="K30" s="402"/>
      <c r="L30" s="402"/>
      <c r="M30" s="403"/>
      <c r="N30" s="280"/>
      <c r="O30" s="401" t="s">
        <v>224</v>
      </c>
      <c r="P30" s="402"/>
      <c r="Q30" s="402"/>
      <c r="R30" s="402"/>
      <c r="S30" s="402"/>
      <c r="T30" s="402"/>
      <c r="U30" s="402"/>
      <c r="V30" s="402"/>
      <c r="W30" s="402"/>
      <c r="X30" s="402"/>
      <c r="Y30" s="403"/>
    </row>
    <row r="31" spans="1:27" ht="51">
      <c r="A31" s="202"/>
      <c r="B31" s="209" t="s">
        <v>222</v>
      </c>
      <c r="C31" s="281" t="s">
        <v>565</v>
      </c>
      <c r="D31" s="281"/>
      <c r="E31" s="210" t="s">
        <v>569</v>
      </c>
      <c r="F31" s="210" t="s">
        <v>534</v>
      </c>
      <c r="G31" s="210" t="s">
        <v>462</v>
      </c>
      <c r="H31" s="210" t="s">
        <v>463</v>
      </c>
      <c r="I31" s="210" t="s">
        <v>464</v>
      </c>
      <c r="J31" s="210" t="s">
        <v>465</v>
      </c>
      <c r="K31" s="210"/>
      <c r="L31" s="210"/>
      <c r="M31" s="210"/>
      <c r="N31" s="306"/>
      <c r="O31" s="281" t="s">
        <v>544</v>
      </c>
      <c r="P31" s="210" t="s">
        <v>464</v>
      </c>
      <c r="Q31" s="210" t="s">
        <v>465</v>
      </c>
      <c r="R31" s="210" t="s">
        <v>466</v>
      </c>
      <c r="S31" s="363"/>
      <c r="T31" s="363"/>
      <c r="U31" s="363"/>
      <c r="V31" s="363"/>
      <c r="W31" s="210" t="s">
        <v>550</v>
      </c>
      <c r="X31" s="210" t="s">
        <v>551</v>
      </c>
      <c r="Y31" s="210"/>
      <c r="Z31" s="210"/>
      <c r="AA31" s="211" t="s">
        <v>469</v>
      </c>
    </row>
    <row r="32" spans="1:27">
      <c r="A32" s="212" t="s">
        <v>470</v>
      </c>
      <c r="B32" s="213">
        <v>2022</v>
      </c>
      <c r="C32" s="213"/>
      <c r="D32" s="292"/>
      <c r="E32" s="293">
        <f>E20*365</f>
        <v>12410000</v>
      </c>
      <c r="F32" s="293">
        <f>B20</f>
        <v>11769</v>
      </c>
      <c r="G32" s="293">
        <f>D20</f>
        <v>6317</v>
      </c>
      <c r="H32" s="293">
        <f t="shared" ref="H32:H57" si="2">G32*$K$22</f>
        <v>124.99999999999999</v>
      </c>
      <c r="I32" s="294">
        <f>H32*2*5*52</f>
        <v>64999.999999999985</v>
      </c>
      <c r="J32" s="294">
        <f>$F32*'Census Population Data'!$B$105*'Trip Multipliers'!$J$6*365*'Trip Multipliers'!$C$23</f>
        <v>206184.5630607518</v>
      </c>
      <c r="K32" s="294"/>
      <c r="L32" s="290"/>
      <c r="M32" s="298"/>
      <c r="N32" s="214"/>
      <c r="O32" s="296"/>
      <c r="P32" s="182"/>
      <c r="Q32" s="283"/>
      <c r="R32" s="214"/>
      <c r="S32" s="321"/>
      <c r="T32" s="321"/>
      <c r="U32" s="321"/>
      <c r="V32" s="321"/>
      <c r="W32" s="215"/>
      <c r="X32" s="215"/>
      <c r="AA32" s="216"/>
    </row>
    <row r="33" spans="1:30">
      <c r="A33" s="202">
        <v>8</v>
      </c>
      <c r="B33" s="218">
        <v>2030</v>
      </c>
      <c r="C33" s="202"/>
      <c r="D33" s="284">
        <f>$D$32*($F$29+1)^A33</f>
        <v>0</v>
      </c>
      <c r="E33" s="190">
        <f>E$32+(E$19*(B33-2023))</f>
        <v>12412000</v>
      </c>
      <c r="F33" s="190">
        <f t="shared" ref="F33:F45" si="3">$F$32*($F$29+1)^$A33</f>
        <v>13050.138647318981</v>
      </c>
      <c r="G33" s="190">
        <f>$G$32*(1+$F$29)^A33</f>
        <v>7004.6499987351526</v>
      </c>
      <c r="H33" s="182">
        <f t="shared" si="2"/>
        <v>138.60713152475765</v>
      </c>
      <c r="I33" s="215">
        <f>H33*2*5*52</f>
        <v>72075.708392873974</v>
      </c>
      <c r="J33" s="215">
        <f>$J$32*(1+$F$29)^A33</f>
        <v>228629.2068042905</v>
      </c>
      <c r="K33" s="294"/>
      <c r="L33" s="215"/>
      <c r="M33" s="215"/>
      <c r="N33" s="215"/>
      <c r="O33" s="297"/>
      <c r="P33" s="190"/>
      <c r="Q33" s="214"/>
      <c r="R33" s="214"/>
      <c r="S33" s="321"/>
      <c r="T33" s="321"/>
      <c r="U33" s="321"/>
      <c r="V33" s="321"/>
      <c r="W33" s="215"/>
      <c r="X33" s="215"/>
      <c r="AA33" s="216"/>
    </row>
    <row r="34" spans="1:30">
      <c r="A34" s="202">
        <v>9</v>
      </c>
      <c r="B34" s="341">
        <v>2031</v>
      </c>
      <c r="C34" s="202"/>
      <c r="D34" s="284">
        <f t="shared" ref="D34:D57" si="4">$D$32*($F$29+1)^A34</f>
        <v>0</v>
      </c>
      <c r="E34" s="190">
        <f>E$32+(E$19*(B34-2023))</f>
        <v>12412285.714285715</v>
      </c>
      <c r="F34" s="190">
        <f t="shared" si="3"/>
        <v>13219.790449734128</v>
      </c>
      <c r="G34" s="190">
        <f>$G$32*(1+$F$29)^A34</f>
        <v>7095.7104487187089</v>
      </c>
      <c r="H34" s="182">
        <f t="shared" si="2"/>
        <v>140.40902423457948</v>
      </c>
      <c r="I34" s="215">
        <f t="shared" ref="I34:I56" si="5">H34*2*5*52</f>
        <v>73012.692601981325</v>
      </c>
      <c r="J34" s="215">
        <f>$J$32*(1+$F$29)^A34</f>
        <v>231601.38649274624</v>
      </c>
      <c r="K34" s="294"/>
      <c r="L34" s="215"/>
      <c r="M34" s="215"/>
      <c r="N34" s="215"/>
      <c r="O34" s="301">
        <f>G34*('Trip Multipliers'!J$5+(('Trip Multipliers'!J$16-'Trip Multipliers'!J$5)/(2052-B34)))</f>
        <v>143.85960943586434</v>
      </c>
      <c r="P34" s="300">
        <f>(O34*2*5*52)*(1+'Trip Multipliers'!$J$5+(($B34-$B$37)*(('Trip Multipliers'!$J$16-'Trip Multipliers'!$J$5)/($B$55-$B$37))))</f>
        <v>76159.945255273255</v>
      </c>
      <c r="Q34" s="300">
        <f>$F34*365*'Trip Multipliers'!$C$23*'Census Population Data'!$B$105*(('Trip Multipliers'!$J$6+('Trip Multipliers'!$J$17-'Trip Multipliers'!$J$6)/(2052-$B34)))</f>
        <v>235228.48477797167</v>
      </c>
      <c r="R34" s="302">
        <f>(Q34+P34)-(I34+J34)</f>
        <v>6774.3509385173093</v>
      </c>
      <c r="S34" s="312"/>
      <c r="T34" s="310"/>
      <c r="U34" s="310"/>
      <c r="V34" s="312"/>
      <c r="W34" s="301">
        <f>(($P34-$I34))*'Trip Multipliers'!$J$9</f>
        <v>2565.038437621241</v>
      </c>
      <c r="X34" s="301">
        <f>($Q34-$J34)</f>
        <v>3627.0982852254238</v>
      </c>
      <c r="Y34" s="301">
        <f>(($T34-$L34))*'Trip Multipliers'!$I$9</f>
        <v>0</v>
      </c>
      <c r="Z34" s="301">
        <f t="shared" ref="Z34:Z37" si="6">($U34-$M34)</f>
        <v>0</v>
      </c>
      <c r="AA34" s="303">
        <f>$W34*'Trip Multipliers'!$C$25+$X34*'Trip Multipliers'!$C$26+$Y34*'Trip Multipliers'!$C$29+'Population and Mode Share Proj.'!$Z34*'Trip Multipliers'!$C$30</f>
        <v>4857.319251824395</v>
      </c>
    </row>
    <row r="35" spans="1:30">
      <c r="A35" s="202">
        <v>10</v>
      </c>
      <c r="B35" s="341">
        <v>2032</v>
      </c>
      <c r="C35" s="202"/>
      <c r="D35" s="284">
        <f t="shared" si="4"/>
        <v>0</v>
      </c>
      <c r="E35" s="190">
        <f t="shared" ref="E35:E53" si="7">E$32+(E$19*(B35-2023))</f>
        <v>12412571.428571429</v>
      </c>
      <c r="F35" s="190">
        <f t="shared" si="3"/>
        <v>13391.647725580671</v>
      </c>
      <c r="G35" s="190">
        <f t="shared" ref="G35:G57" si="8">$G$32*(1+$F$29)^A35</f>
        <v>7187.9546845520526</v>
      </c>
      <c r="H35" s="182">
        <f t="shared" si="2"/>
        <v>142.23434154962902</v>
      </c>
      <c r="I35" s="215">
        <f t="shared" si="5"/>
        <v>73961.85760580709</v>
      </c>
      <c r="J35" s="215">
        <f>$J$32*(1+$F$29)^A35</f>
        <v>234612.20451715196</v>
      </c>
      <c r="K35" s="294"/>
      <c r="L35" s="215"/>
      <c r="M35" s="215"/>
      <c r="N35" s="215"/>
      <c r="O35" s="301">
        <f>G35*('Trip Multipliers'!J$5+(('Trip Multipliers'!J$16-'Trip Multipliers'!J$5)/(2052-B35)))</f>
        <v>145.90455649897564</v>
      </c>
      <c r="P35" s="300">
        <f>(O35*2*5*52)*(1+'Trip Multipliers'!$J$5+(($B35-$B$37)*(('Trip Multipliers'!$J$16-'Trip Multipliers'!$J$5)/($B$55-$B$37))))</f>
        <v>77285.594046999933</v>
      </c>
      <c r="Q35" s="364">
        <f>$F35*365*'Trip Multipliers'!$C$23*'Census Population Data'!$B$105*(('Trip Multipliers'!$J$6+('Trip Multipliers'!$J$17-'Trip Multipliers'!$J$6)/(2052-$B35)))</f>
        <v>238470.16760823198</v>
      </c>
      <c r="R35" s="302">
        <f>(Q35+P35)-(I35+J35)</f>
        <v>7181.6995322728762</v>
      </c>
      <c r="S35" s="312"/>
      <c r="T35" s="310"/>
      <c r="U35" s="310"/>
      <c r="V35" s="312"/>
      <c r="W35" s="301">
        <f>(($P35-$I35))*'Trip Multipliers'!$J$9</f>
        <v>2708.874268249373</v>
      </c>
      <c r="X35" s="301">
        <f t="shared" ref="X35:X37" si="9">($Q35-$J35)</f>
        <v>3857.9630910800188</v>
      </c>
      <c r="Y35" s="301">
        <f>(($T35-$L35))*'Trip Multipliers'!$I$9</f>
        <v>0</v>
      </c>
      <c r="Z35" s="301">
        <f t="shared" si="6"/>
        <v>0</v>
      </c>
      <c r="AA35" s="303">
        <f>$W35*'Trip Multipliers'!$C$25+$X35*'Trip Multipliers'!$C$26+$Y35*'Trip Multipliers'!$C$29+'Population and Mode Share Proj.'!$Z35*'Trip Multipliers'!$C$30</f>
        <v>5152.4988387359645</v>
      </c>
    </row>
    <row r="36" spans="1:30">
      <c r="A36" s="202">
        <v>11</v>
      </c>
      <c r="B36" s="342">
        <v>2033</v>
      </c>
      <c r="C36" s="202"/>
      <c r="D36" s="284">
        <f t="shared" si="4"/>
        <v>0</v>
      </c>
      <c r="E36" s="190">
        <f t="shared" si="7"/>
        <v>12412857.142857144</v>
      </c>
      <c r="F36" s="190">
        <f t="shared" si="3"/>
        <v>13565.739146013218</v>
      </c>
      <c r="G36" s="190">
        <f t="shared" si="8"/>
        <v>7281.3980954512281</v>
      </c>
      <c r="H36" s="182">
        <f t="shared" si="2"/>
        <v>144.08338798977417</v>
      </c>
      <c r="I36" s="215">
        <f>H36*2*5*52</f>
        <v>74923.361754682555</v>
      </c>
      <c r="J36" s="215">
        <f>$J$32*(1+$F$29)^A36</f>
        <v>237662.16317587491</v>
      </c>
      <c r="K36" s="294"/>
      <c r="L36" s="215"/>
      <c r="M36" s="215"/>
      <c r="N36" s="215"/>
      <c r="O36" s="301">
        <f>G36*('Trip Multipliers'!J$5+(('Trip Multipliers'!J$16-'Trip Multipliers'!J$5)/(2052-B36)))</f>
        <v>147.99699614102482</v>
      </c>
      <c r="P36" s="300">
        <f>(O36*2*5*52)*(1+'Trip Multipliers'!$J$5+(($B36-$B$37)*(('Trip Multipliers'!$J$16-'Trip Multipliers'!$J$5)/($B$55-$B$37))))</f>
        <v>78437.620240971999</v>
      </c>
      <c r="Q36" s="364">
        <f>$F36*365*'Trip Multipliers'!$C$23*'Census Population Data'!$B$105*(('Trip Multipliers'!$J$6+('Trip Multipliers'!$J$17-'Trip Multipliers'!$J$6)/(2052-$B36)))</f>
        <v>241775.97013510021</v>
      </c>
      <c r="R36" s="302">
        <f>(Q36+P36)-(I36+J36)</f>
        <v>7628.0654455147451</v>
      </c>
      <c r="S36" s="312"/>
      <c r="T36" s="310"/>
      <c r="U36" s="310"/>
      <c r="V36" s="312"/>
      <c r="W36" s="301">
        <f>(($P36-$I36))*'Trip Multipliers'!$J$9</f>
        <v>2864.1514012675398</v>
      </c>
      <c r="X36" s="301">
        <f t="shared" si="9"/>
        <v>4113.8069592253014</v>
      </c>
      <c r="Y36" s="301">
        <f>(($T36-$L36))*'Trip Multipliers'!$I$9</f>
        <v>0</v>
      </c>
      <c r="Z36" s="301">
        <f t="shared" si="6"/>
        <v>0</v>
      </c>
      <c r="AA36" s="303">
        <f>$W36*'Trip Multipliers'!$C$25+$X36*'Trip Multipliers'!$C$26+$Y36*'Trip Multipliers'!$C$29+'Population and Mode Share Proj.'!$Z36*'Trip Multipliers'!$C$30</f>
        <v>5476.6487850696285</v>
      </c>
    </row>
    <row r="37" spans="1:30">
      <c r="A37" s="202">
        <v>12</v>
      </c>
      <c r="B37" s="341">
        <v>2034</v>
      </c>
      <c r="C37" s="202"/>
      <c r="D37" s="284">
        <f t="shared" si="4"/>
        <v>0</v>
      </c>
      <c r="E37" s="190">
        <f t="shared" si="7"/>
        <v>12413142.857142856</v>
      </c>
      <c r="F37" s="190">
        <f t="shared" si="3"/>
        <v>13742.093754911391</v>
      </c>
      <c r="G37" s="190">
        <f t="shared" si="8"/>
        <v>7376.0562706920946</v>
      </c>
      <c r="H37" s="182">
        <f t="shared" si="2"/>
        <v>145.95647203364123</v>
      </c>
      <c r="I37" s="215">
        <f t="shared" si="5"/>
        <v>75897.365457493448</v>
      </c>
      <c r="J37" s="215">
        <f t="shared" ref="J37:J57" si="10">$J$32*(1+$F$29)^A37</f>
        <v>240751.77129716129</v>
      </c>
      <c r="K37" s="294"/>
      <c r="L37" s="215"/>
      <c r="M37" s="215"/>
      <c r="N37" s="215"/>
      <c r="O37" s="301">
        <f>G37*('Trip Multipliers'!J$5+(('Trip Multipliers'!J$16-'Trip Multipliers'!J$5)/(2052-B37)))</f>
        <v>150.14120626070357</v>
      </c>
      <c r="P37" s="300">
        <f>(O37*2*5*52)*(1+'Trip Multipliers'!$J$5+(($B37-$B$37)*(('Trip Multipliers'!$J$16-'Trip Multipliers'!$J$5)/($B$55-$B$37))))</f>
        <v>79618.334396130318</v>
      </c>
      <c r="Q37" s="364">
        <f>$F37*365*'Trip Multipliers'!$C$23*'Census Population Data'!$B$105*(('Trip Multipliers'!$J$6+('Trip Multipliers'!$J$17-'Trip Multipliers'!$J$6)/(2052-$B37)))</f>
        <v>245150.57366072852</v>
      </c>
      <c r="R37" s="302">
        <f t="shared" ref="R37" si="11">(Q37+P37)-(I37+J37)</f>
        <v>8119.7713022040552</v>
      </c>
      <c r="S37" s="312"/>
      <c r="T37" s="310"/>
      <c r="U37" s="310"/>
      <c r="V37" s="312"/>
      <c r="W37" s="301">
        <f>(($P37-$I37))*'Trip Multipliers'!$J$9</f>
        <v>3032.6222277754237</v>
      </c>
      <c r="X37" s="301">
        <f t="shared" si="9"/>
        <v>4398.8023635672289</v>
      </c>
      <c r="Y37" s="301">
        <f>(($T37-$L37))*'Trip Multipliers'!$I$9</f>
        <v>0</v>
      </c>
      <c r="Z37" s="301">
        <f t="shared" si="6"/>
        <v>0</v>
      </c>
      <c r="AA37" s="303">
        <f>$W37*'Trip Multipliers'!$C$25+$X37*'Trip Multipliers'!$C$26+$Y37*'Trip Multipliers'!$C$29+'Population and Mode Share Proj.'!$Z37*'Trip Multipliers'!$C$30</f>
        <v>5834.4939657591049</v>
      </c>
    </row>
    <row r="38" spans="1:30">
      <c r="A38" s="202">
        <v>13</v>
      </c>
      <c r="B38" s="341">
        <v>2035</v>
      </c>
      <c r="C38" s="202"/>
      <c r="D38" s="284">
        <f t="shared" si="4"/>
        <v>0</v>
      </c>
      <c r="E38" s="190">
        <f t="shared" si="7"/>
        <v>12413428.571428571</v>
      </c>
      <c r="F38" s="190">
        <f t="shared" si="3"/>
        <v>13920.740973725238</v>
      </c>
      <c r="G38" s="190">
        <f t="shared" si="8"/>
        <v>7471.9450022110905</v>
      </c>
      <c r="H38" s="182">
        <f t="shared" si="2"/>
        <v>147.85390617007855</v>
      </c>
      <c r="I38" s="215">
        <f>H38*2*5*52</f>
        <v>76884.031208440836</v>
      </c>
      <c r="J38" s="215">
        <f>$J$32*(1+$F$29)^A38</f>
        <v>243881.54432402435</v>
      </c>
      <c r="K38" s="294"/>
      <c r="L38" s="215"/>
      <c r="M38" s="215"/>
      <c r="N38" s="286"/>
      <c r="O38" s="301">
        <f>G38*('Trip Multipliers'!J$5+(('Trip Multipliers'!J$16-'Trip Multipliers'!J$5)/(2052-B38)))</f>
        <v>152.3424028698582</v>
      </c>
      <c r="P38" s="300">
        <f>(O38*2*5*52)*(1+'Trip Multipliers'!$J$5+(($B38-$B$37)*(('Trip Multipliers'!$J$16-'Trip Multipliers'!$J$5)/($B$55-$B$37))))</f>
        <v>80830.549868124232</v>
      </c>
      <c r="Q38" s="364">
        <f>$F38*365*'Trip Multipliers'!$C$23*'Census Population Data'!$B$105*(('Trip Multipliers'!$J$6+('Trip Multipliers'!$J$17-'Trip Multipliers'!$J$6)/(2052-$B38)))</f>
        <v>248599.64798857053</v>
      </c>
      <c r="R38" s="302">
        <f t="shared" ref="R38:R52" si="12">(Q38+P38)-(I38+J38)</f>
        <v>8664.6223242295673</v>
      </c>
      <c r="S38" s="312"/>
      <c r="T38" s="310"/>
      <c r="U38" s="310"/>
      <c r="V38" s="312"/>
      <c r="W38" s="301">
        <f>(($P38-$I38))*'Trip Multipliers'!$J$9</f>
        <v>3216.4472230372271</v>
      </c>
      <c r="X38" s="301">
        <f>($Q38-$J38)</f>
        <v>4718.1036645461863</v>
      </c>
      <c r="Y38" s="301">
        <f>(($T38-$L38))*'Trip Multipliers'!$I$9</f>
        <v>0</v>
      </c>
      <c r="Z38" s="301">
        <f>($U38-$M38)</f>
        <v>0</v>
      </c>
      <c r="AA38" s="303">
        <f>$W38*'Trip Multipliers'!$C$25+$X38*'Trip Multipliers'!$C$26+$Y38*'Trip Multipliers'!$C$29+'Population and Mode Share Proj.'!$Z38*'Trip Multipliers'!$C$30</f>
        <v>6231.8680421601384</v>
      </c>
      <c r="AC38" s="301"/>
      <c r="AD38" s="303"/>
    </row>
    <row r="39" spans="1:30">
      <c r="A39" s="202">
        <v>14</v>
      </c>
      <c r="B39" s="342">
        <v>2036</v>
      </c>
      <c r="C39" s="202"/>
      <c r="D39" s="284">
        <f t="shared" si="4"/>
        <v>0</v>
      </c>
      <c r="E39" s="190">
        <f t="shared" si="7"/>
        <v>12413714.285714285</v>
      </c>
      <c r="F39" s="190">
        <f t="shared" si="3"/>
        <v>14101.710606383667</v>
      </c>
      <c r="G39" s="190">
        <f t="shared" si="8"/>
        <v>7569.0802872398363</v>
      </c>
      <c r="H39" s="182">
        <f t="shared" si="2"/>
        <v>149.7760069502896</v>
      </c>
      <c r="I39" s="215">
        <f t="shared" si="5"/>
        <v>77883.523614150588</v>
      </c>
      <c r="J39" s="215">
        <f t="shared" si="10"/>
        <v>247052.00440023671</v>
      </c>
      <c r="K39" s="294"/>
      <c r="L39" s="215"/>
      <c r="M39" s="215"/>
      <c r="N39" s="286"/>
      <c r="O39" s="301">
        <f>G39*('Trip Multipliers'!J$5+(('Trip Multipliers'!J$16-'Trip Multipliers'!J$5)/(2052-B39)))</f>
        <v>154.6070320544712</v>
      </c>
      <c r="P39" s="300">
        <f>(O39*2*5*52)*(1+'Trip Multipliers'!$J$5+(($B39-$B$37)*(('Trip Multipliers'!$J$16-'Trip Multipliers'!$J$5)/($B$55-$B$37))))</f>
        <v>82077.739189274478</v>
      </c>
      <c r="Q39" s="364">
        <f>$F39*365*'Trip Multipliers'!$C$23*'Census Population Data'!$B$105*(('Trip Multipliers'!$J$6+('Trip Multipliers'!$J$17-'Trip Multipliers'!$J$6)/(2052-$B39)))</f>
        <v>252130.15835068352</v>
      </c>
      <c r="R39" s="302">
        <f t="shared" si="12"/>
        <v>9272.3695255707134</v>
      </c>
      <c r="S39" s="312"/>
      <c r="T39" s="310"/>
      <c r="U39" s="310"/>
      <c r="V39" s="312"/>
      <c r="W39" s="301">
        <f>(($P39-$I39))*'Trip Multipliers'!$J$9</f>
        <v>3418.3223754246678</v>
      </c>
      <c r="X39" s="301">
        <f t="shared" ref="X39:X57" si="13">($Q39-$J39)</f>
        <v>5078.1539504468092</v>
      </c>
      <c r="Y39" s="301">
        <f>(($T39-$L39))*'Trip Multipliers'!$I$9</f>
        <v>0</v>
      </c>
      <c r="Z39" s="301">
        <f t="shared" ref="Z39:Z57" si="14">($U39-$M39)</f>
        <v>0</v>
      </c>
      <c r="AA39" s="303">
        <f>W39*'Trip Multipliers'!$C$25+X39*'Trip Multipliers'!$C$26+Y39*'Trip Multipliers'!C$29+'Population and Mode Share Proj.'!Z39*'Trip Multipliers'!C$30</f>
        <v>6676.0598891766113</v>
      </c>
    </row>
    <row r="40" spans="1:30">
      <c r="A40" s="202">
        <v>15</v>
      </c>
      <c r="B40" s="341">
        <v>2037</v>
      </c>
      <c r="C40" s="202"/>
      <c r="D40" s="284">
        <f t="shared" si="4"/>
        <v>0</v>
      </c>
      <c r="E40" s="190">
        <f t="shared" si="7"/>
        <v>12414000</v>
      </c>
      <c r="F40" s="190">
        <f t="shared" si="3"/>
        <v>14285.032844266652</v>
      </c>
      <c r="G40" s="190">
        <f t="shared" si="8"/>
        <v>7667.4783309739523</v>
      </c>
      <c r="H40" s="182">
        <f t="shared" si="2"/>
        <v>151.72309504064333</v>
      </c>
      <c r="I40" s="215">
        <f t="shared" si="5"/>
        <v>78896.009421134528</v>
      </c>
      <c r="J40" s="215">
        <f t="shared" si="10"/>
        <v>250263.68045743974</v>
      </c>
      <c r="K40" s="294"/>
      <c r="L40" s="215"/>
      <c r="M40" s="215"/>
      <c r="N40" s="286"/>
      <c r="O40" s="301">
        <f>G40*('Trip Multipliers'!J$5+(('Trip Multipliers'!J$16-'Trip Multipliers'!J$5)/(2052-B40)))</f>
        <v>156.94317869988168</v>
      </c>
      <c r="P40" s="300">
        <f>(O40*2*5*52)*(1+'Trip Multipliers'!$J$5+(($B40-$B$37)*(('Trip Multipliers'!$J$16-'Trip Multipliers'!$J$5)/($B$55-$B$37))))</f>
        <v>83364.25298755191</v>
      </c>
      <c r="Q40" s="364">
        <f>$F40*365*'Trip Multipliers'!$C$23*'Census Population Data'!$B$105*(('Trip Multipliers'!$J$6+('Trip Multipliers'!$J$17-'Trip Multipliers'!$J$6)/(2052-$B40)))</f>
        <v>255750.79507269591</v>
      </c>
      <c r="R40" s="302">
        <f t="shared" si="12"/>
        <v>9955.3581816735095</v>
      </c>
      <c r="S40" s="312"/>
      <c r="T40" s="310"/>
      <c r="U40" s="310"/>
      <c r="V40" s="312"/>
      <c r="W40" s="301">
        <f>(($P40-$I40))*'Trip Multipliers'!$J$9</f>
        <v>3641.6575849181745</v>
      </c>
      <c r="X40" s="301">
        <f t="shared" si="13"/>
        <v>5487.1146152561705</v>
      </c>
      <c r="Y40" s="301">
        <f>(($T40-$L40))*'Trip Multipliers'!$I$9</f>
        <v>0</v>
      </c>
      <c r="Z40" s="301">
        <f t="shared" si="14"/>
        <v>0</v>
      </c>
      <c r="AA40" s="303">
        <f>W40*'Trip Multipliers'!$C$25+X40*'Trip Multipliers'!$C$26+Y40*'Trip Multipliers'!C$29+'Population and Mode Share Proj.'!Z40*'Trip Multipliers'!C$30</f>
        <v>7176.2985918037066</v>
      </c>
    </row>
    <row r="41" spans="1:30">
      <c r="A41" s="202">
        <v>16</v>
      </c>
      <c r="B41" s="341">
        <v>2038</v>
      </c>
      <c r="C41" s="202"/>
      <c r="D41" s="284">
        <f t="shared" si="4"/>
        <v>0</v>
      </c>
      <c r="E41" s="190">
        <f t="shared" si="7"/>
        <v>12414285.714285715</v>
      </c>
      <c r="F41" s="190">
        <f t="shared" si="3"/>
        <v>14470.738271242119</v>
      </c>
      <c r="G41" s="190">
        <f t="shared" si="8"/>
        <v>7767.1555492766138</v>
      </c>
      <c r="H41" s="182">
        <f t="shared" si="2"/>
        <v>153.6954952761717</v>
      </c>
      <c r="I41" s="215">
        <f t="shared" si="5"/>
        <v>79921.657543609283</v>
      </c>
      <c r="J41" s="215">
        <f t="shared" si="10"/>
        <v>253517.10830338646</v>
      </c>
      <c r="K41" s="294"/>
      <c r="L41" s="215"/>
      <c r="M41" s="215"/>
      <c r="N41" s="286"/>
      <c r="O41" s="301">
        <f>G41*('Trip Multipliers'!J$5+(('Trip Multipliers'!J$16-'Trip Multipliers'!J$5)/(2052-B41)))</f>
        <v>159.36115036203788</v>
      </c>
      <c r="P41" s="300">
        <f>(O41*2*5*52)*(1+'Trip Multipliers'!$J$5+(($B41-$B$37)*(('Trip Multipliers'!$J$16-'Trip Multipliers'!$J$5)/($B$55-$B$37))))</f>
        <v>84695.632713861531</v>
      </c>
      <c r="Q41" s="364">
        <f>$F41*365*'Trip Multipliers'!$C$23*'Census Population Data'!$B$105*(('Trip Multipliers'!$J$6+('Trip Multipliers'!$J$17-'Trip Multipliers'!$J$6)/(2052-$B41)))</f>
        <v>259472.58734473051</v>
      </c>
      <c r="R41" s="302">
        <f t="shared" si="12"/>
        <v>10729.454211596283</v>
      </c>
      <c r="S41" s="312"/>
      <c r="T41" s="310"/>
      <c r="U41" s="310"/>
      <c r="V41" s="312"/>
      <c r="W41" s="301">
        <f>(($P41-$I41))*'Trip Multipliers'!$J$9</f>
        <v>3890.8315159058111</v>
      </c>
      <c r="X41" s="301">
        <f t="shared" si="13"/>
        <v>5955.4790413440496</v>
      </c>
      <c r="Y41" s="301">
        <f>(($T41-$L41))*'Trip Multipliers'!$I$9</f>
        <v>0</v>
      </c>
      <c r="Z41" s="301">
        <f t="shared" si="14"/>
        <v>0</v>
      </c>
      <c r="AA41" s="303">
        <f>W41*'Trip Multipliers'!$C$25+X41*'Trip Multipliers'!$C$26+Y41*'Trip Multipliers'!C$29+'Population and Mode Share Proj.'!Z41*'Trip Multipliers'!C$30</f>
        <v>7744.4462957677451</v>
      </c>
    </row>
    <row r="42" spans="1:30">
      <c r="A42" s="202">
        <v>17</v>
      </c>
      <c r="B42" s="342">
        <v>2039</v>
      </c>
      <c r="C42" s="202"/>
      <c r="D42" s="284">
        <f t="shared" si="4"/>
        <v>0</v>
      </c>
      <c r="E42" s="190">
        <f t="shared" si="7"/>
        <v>12414571.428571429</v>
      </c>
      <c r="F42" s="190">
        <f t="shared" si="3"/>
        <v>14658.857868768266</v>
      </c>
      <c r="G42" s="190">
        <f t="shared" si="8"/>
        <v>7868.1285714172091</v>
      </c>
      <c r="H42" s="182">
        <f t="shared" si="2"/>
        <v>155.69353671476193</v>
      </c>
      <c r="I42" s="215">
        <f t="shared" si="5"/>
        <v>80960.639091676203</v>
      </c>
      <c r="J42" s="215">
        <f t="shared" si="10"/>
        <v>256812.83071133046</v>
      </c>
      <c r="K42" s="294"/>
      <c r="L42" s="215"/>
      <c r="M42" s="215"/>
      <c r="N42" s="286"/>
      <c r="O42" s="301">
        <f>G42*('Trip Multipliers'!J$5+(('Trip Multipliers'!J$16-'Trip Multipliers'!J$5)/(2052-B42)))</f>
        <v>161.87433059381996</v>
      </c>
      <c r="P42" s="300">
        <f>(O42*2*5*52)*(1+'Trip Multipliers'!$J$5+(($B42-$B$37)*(('Trip Multipliers'!$J$16-'Trip Multipliers'!$J$5)/($B$55-$B$37))))</f>
        <v>86079.067689553864</v>
      </c>
      <c r="Q42" s="364">
        <f>$F42*365*'Trip Multipliers'!$C$23*'Census Population Data'!$B$105*(('Trip Multipliers'!$J$6+('Trip Multipliers'!$J$17-'Trip Multipliers'!$J$6)/(2052-$B42)))</f>
        <v>263309.80023166444</v>
      </c>
      <c r="R42" s="302">
        <f t="shared" si="12"/>
        <v>11615.398118211597</v>
      </c>
      <c r="S42" s="312"/>
      <c r="T42" s="310"/>
      <c r="U42" s="310"/>
      <c r="V42" s="312"/>
      <c r="W42" s="301">
        <f>(($P42-$I42))*'Trip Multipliers'!$J$9</f>
        <v>4171.5640719354069</v>
      </c>
      <c r="X42" s="301">
        <f t="shared" si="13"/>
        <v>6496.9695203339797</v>
      </c>
      <c r="Y42" s="301">
        <f>(($T42-$L42))*'Trip Multipliers'!$I$9</f>
        <v>0</v>
      </c>
      <c r="Z42" s="301">
        <f t="shared" si="14"/>
        <v>0</v>
      </c>
      <c r="AA42" s="303">
        <f>W42*'Trip Multipliers'!$C$25+X42*'Trip Multipliers'!$C$26+Y42*'Trip Multipliers'!C$29+'Population and Mode Share Proj.'!Z42*'Trip Multipliers'!C$30</f>
        <v>8396.0108336706944</v>
      </c>
    </row>
    <row r="43" spans="1:30">
      <c r="A43" s="202">
        <v>18</v>
      </c>
      <c r="B43" s="341">
        <v>2040</v>
      </c>
      <c r="C43" s="202"/>
      <c r="D43" s="284">
        <f t="shared" si="4"/>
        <v>0</v>
      </c>
      <c r="E43" s="190">
        <f t="shared" si="7"/>
        <v>12414857.142857144</v>
      </c>
      <c r="F43" s="190">
        <f t="shared" si="3"/>
        <v>14849.423021062254</v>
      </c>
      <c r="G43" s="190">
        <f t="shared" si="8"/>
        <v>7970.4142428456325</v>
      </c>
      <c r="H43" s="182">
        <f t="shared" si="2"/>
        <v>157.71755269205383</v>
      </c>
      <c r="I43" s="215">
        <f t="shared" si="5"/>
        <v>82013.127399867983</v>
      </c>
      <c r="J43" s="215">
        <f t="shared" si="10"/>
        <v>260151.39751057775</v>
      </c>
      <c r="K43" s="294"/>
      <c r="L43" s="215"/>
      <c r="M43" s="215"/>
      <c r="N43" s="286"/>
      <c r="O43" s="301">
        <f>G43*('Trip Multipliers'!J$5+(('Trip Multipliers'!J$16-'Trip Multipliers'!J$5)/(2052-B43)))</f>
        <v>164.50045890816341</v>
      </c>
      <c r="P43" s="300">
        <f>(O43*2*5*52)*(1+'Trip Multipliers'!$J$5+(($B43-$B$37)*(('Trip Multipliers'!$J$16-'Trip Multipliers'!$J$5)/($B$55-$B$37))))</f>
        <v>87524.080660700361</v>
      </c>
      <c r="Q43" s="364">
        <f>$F43*365*'Trip Multipliers'!$C$23*'Census Population Data'!$B$105*(('Trip Multipliers'!$J$6+('Trip Multipliers'!$J$17-'Trip Multipliers'!$J$6)/(2052-$B43)))</f>
        <v>267281.28014501772</v>
      </c>
      <c r="R43" s="302">
        <f t="shared" si="12"/>
        <v>12640.835895272379</v>
      </c>
      <c r="S43" s="312"/>
      <c r="T43" s="310"/>
      <c r="U43" s="310"/>
      <c r="V43" s="312"/>
      <c r="W43" s="301">
        <f>(($P43-$I43))*'Trip Multipliers'!$J$9</f>
        <v>4491.4751051789726</v>
      </c>
      <c r="X43" s="301">
        <f t="shared" si="13"/>
        <v>7129.8826344399713</v>
      </c>
      <c r="Y43" s="301">
        <f>(($T43-$L43))*'Trip Multipliers'!$I$9</f>
        <v>0</v>
      </c>
      <c r="Z43" s="301">
        <f t="shared" si="14"/>
        <v>0</v>
      </c>
      <c r="AA43" s="303">
        <f>W43*'Trip Multipliers'!$C$25+X43*'Trip Multipliers'!$C$26+Y43*'Trip Multipliers'!C$29+'Population and Mode Share Proj.'!Z43*'Trip Multipliers'!C$30</f>
        <v>9151.6646623140368</v>
      </c>
    </row>
    <row r="44" spans="1:30">
      <c r="A44" s="202">
        <v>19</v>
      </c>
      <c r="B44" s="341">
        <v>2041</v>
      </c>
      <c r="C44" s="202"/>
      <c r="D44" s="284">
        <f t="shared" si="4"/>
        <v>0</v>
      </c>
      <c r="E44" s="190">
        <f t="shared" si="7"/>
        <v>12415142.857142856</v>
      </c>
      <c r="F44" s="190">
        <f t="shared" si="3"/>
        <v>15042.465520336063</v>
      </c>
      <c r="G44" s="190">
        <f t="shared" si="8"/>
        <v>8074.0296280026259</v>
      </c>
      <c r="H44" s="182">
        <f t="shared" si="2"/>
        <v>159.76788087705052</v>
      </c>
      <c r="I44" s="215">
        <f t="shared" si="5"/>
        <v>83079.298056066269</v>
      </c>
      <c r="J44" s="215">
        <f t="shared" si="10"/>
        <v>263533.36567821528</v>
      </c>
      <c r="K44" s="294"/>
      <c r="L44" s="215"/>
      <c r="M44" s="215"/>
      <c r="N44" s="286"/>
      <c r="O44" s="301">
        <f>G44*('Trip Multipliers'!J$5+(('Trip Multipliers'!J$16-'Trip Multipliers'!J$5)/(2052-B44)))</f>
        <v>167.26360887368944</v>
      </c>
      <c r="P44" s="300">
        <f>(O44*2*5*52)*(1+'Trip Multipliers'!$J$5+(($B44-$B$37)*(('Trip Multipliers'!$J$16-'Trip Multipliers'!$J$5)/($B$55-$B$37))))</f>
        <v>89043.587272234028</v>
      </c>
      <c r="Q44" s="364">
        <f>$F44*365*'Trip Multipliers'!$C$23*'Census Population Data'!$B$105*(('Trip Multipliers'!$J$6+('Trip Multipliers'!$J$17-'Trip Multipliers'!$J$6)/(2052-$B44)))</f>
        <v>271412.53416041995</v>
      </c>
      <c r="R44" s="302">
        <f t="shared" si="12"/>
        <v>13843.457698372426</v>
      </c>
      <c r="S44" s="312"/>
      <c r="T44" s="310"/>
      <c r="U44" s="310"/>
      <c r="V44" s="312"/>
      <c r="W44" s="301">
        <f>(($P44-$I44))*'Trip Multipliers'!$J$9</f>
        <v>4860.9478735551365</v>
      </c>
      <c r="X44" s="301">
        <f t="shared" si="13"/>
        <v>7879.1684822046664</v>
      </c>
      <c r="Y44" s="301">
        <f>(($T44-$L44))*'Trip Multipliers'!$I$9</f>
        <v>0</v>
      </c>
      <c r="Z44" s="301">
        <f t="shared" si="14"/>
        <v>0</v>
      </c>
      <c r="AA44" s="303">
        <f>W44*'Trip Multipliers'!$C$25+X44*'Trip Multipliers'!$C$26+Y44*'Trip Multipliers'!C$29+'Population and Mode Share Proj.'!Z44*'Trip Multipliers'!C$30</f>
        <v>10039.592309189571</v>
      </c>
    </row>
    <row r="45" spans="1:30">
      <c r="A45" s="202">
        <v>20</v>
      </c>
      <c r="B45" s="342">
        <v>2042</v>
      </c>
      <c r="C45" s="202"/>
      <c r="D45" s="284">
        <f t="shared" si="4"/>
        <v>0</v>
      </c>
      <c r="E45" s="190">
        <f t="shared" si="7"/>
        <v>12415428.571428571</v>
      </c>
      <c r="F45" s="190">
        <f t="shared" si="3"/>
        <v>15238.017572100431</v>
      </c>
      <c r="G45" s="190">
        <f t="shared" si="8"/>
        <v>8178.9920131666595</v>
      </c>
      <c r="H45" s="182">
        <f t="shared" si="2"/>
        <v>161.84486332845216</v>
      </c>
      <c r="I45" s="215">
        <f t="shared" si="5"/>
        <v>84159.328930795135</v>
      </c>
      <c r="J45" s="215">
        <f t="shared" si="10"/>
        <v>266959.29943203204</v>
      </c>
      <c r="K45" s="294"/>
      <c r="L45" s="215"/>
      <c r="M45" s="215"/>
      <c r="N45" s="286"/>
      <c r="O45" s="301">
        <f>G45*('Trip Multipliers'!J$5+(('Trip Multipliers'!J$16-'Trip Multipliers'!J$5)/(2052-B45)))</f>
        <v>170.19735303510691</v>
      </c>
      <c r="P45" s="300">
        <f>(O45*2*5*52)*(1+'Trip Multipliers'!$J$5+(($B45-$B$37)*(('Trip Multipliers'!$J$16-'Trip Multipliers'!$J$5)/($B$55-$B$37))))</f>
        <v>90655.591205534205</v>
      </c>
      <c r="Q45" s="364">
        <f>$F45*365*'Trip Multipliers'!$C$23*'Census Population Data'!$B$105*(('Trip Multipliers'!$J$6+('Trip Multipliers'!$J$17-'Trip Multipliers'!$J$6)/(2052-$B45)))</f>
        <v>275739.05687175272</v>
      </c>
      <c r="R45" s="302">
        <f t="shared" si="12"/>
        <v>15276.019714459719</v>
      </c>
      <c r="S45" s="312"/>
      <c r="T45" s="310"/>
      <c r="U45" s="310"/>
      <c r="V45" s="312"/>
      <c r="W45" s="301">
        <f>(($P45-$I45))*'Trip Multipliers'!$J$9</f>
        <v>5294.5105688116137</v>
      </c>
      <c r="X45" s="301">
        <f t="shared" si="13"/>
        <v>8779.7574397206772</v>
      </c>
      <c r="Y45" s="301">
        <f>(($T45-$L45))*'Trip Multipliers'!$I$9</f>
        <v>0</v>
      </c>
      <c r="Z45" s="301">
        <f t="shared" si="14"/>
        <v>0</v>
      </c>
      <c r="AA45" s="303">
        <f>W45*'Trip Multipliers'!$C$25+X45*'Trip Multipliers'!$C$26+Y45*'Trip Multipliers'!C$29+'Population and Mode Share Proj.'!Z45*'Trip Multipliers'!C$30</f>
        <v>11099.246284512523</v>
      </c>
    </row>
    <row r="46" spans="1:30">
      <c r="A46" s="202">
        <v>21</v>
      </c>
      <c r="B46" s="341">
        <v>2043</v>
      </c>
      <c r="C46" s="202"/>
      <c r="D46" s="284">
        <f t="shared" si="4"/>
        <v>0</v>
      </c>
      <c r="E46" s="190">
        <f t="shared" si="7"/>
        <v>12415714.285714285</v>
      </c>
      <c r="F46" s="190">
        <f t="shared" ref="F46:F57" si="15">$F$32*($F$29+1)^$A46</f>
        <v>15436.111800537734</v>
      </c>
      <c r="G46" s="190">
        <f t="shared" si="8"/>
        <v>8285.3189093378242</v>
      </c>
      <c r="H46" s="182">
        <f t="shared" si="2"/>
        <v>163.948846551722</v>
      </c>
      <c r="I46" s="215">
        <f t="shared" si="5"/>
        <v>85253.400206895443</v>
      </c>
      <c r="J46" s="215">
        <f t="shared" si="10"/>
        <v>270429.77032464842</v>
      </c>
      <c r="K46" s="294"/>
      <c r="L46" s="215"/>
      <c r="M46" s="215"/>
      <c r="N46" s="286"/>
      <c r="O46" s="301">
        <f>G46*('Trip Multipliers'!J$5+(('Trip Multipliers'!J$16-'Trip Multipliers'!J$5)/(2052-B46)))</f>
        <v>173.35003774376787</v>
      </c>
      <c r="P46" s="300">
        <f>(O46*2*5*52)*(1+'Trip Multipliers'!$J$5+(($B46-$B$37)*(('Trip Multipliers'!$J$16-'Trip Multipliers'!$J$5)/($B$55-$B$37))))</f>
        <v>92386.009383986777</v>
      </c>
      <c r="Q46" s="364">
        <f>$F46*365*'Trip Multipliers'!$C$23*'Census Population Data'!$B$105*(('Trip Multipliers'!$J$6+('Trip Multipliers'!$J$17-'Trip Multipliers'!$J$6)/(2052-$B46)))</f>
        <v>280311.87508735625</v>
      </c>
      <c r="R46" s="302">
        <f t="shared" si="12"/>
        <v>17014.71393979917</v>
      </c>
      <c r="S46" s="312"/>
      <c r="T46" s="310"/>
      <c r="U46" s="310"/>
      <c r="V46" s="312"/>
      <c r="W46" s="301">
        <f>(($P46-$I46))*'Trip Multipliers'!$J$9</f>
        <v>5813.1388595805411</v>
      </c>
      <c r="X46" s="301">
        <f t="shared" si="13"/>
        <v>9882.1047627078369</v>
      </c>
      <c r="Y46" s="301">
        <f>(($T46-$L46))*'Trip Multipliers'!$I$9</f>
        <v>0</v>
      </c>
      <c r="Z46" s="301">
        <f t="shared" si="14"/>
        <v>0</v>
      </c>
      <c r="AA46" s="303">
        <f>W46*'Trip Multipliers'!$C$25+X46*'Trip Multipliers'!$C$26+Y46*'Trip Multipliers'!C$29+'Population and Mode Share Proj.'!Z46*'Trip Multipliers'!C$30</f>
        <v>12387.606931945495</v>
      </c>
    </row>
    <row r="47" spans="1:30">
      <c r="A47" s="202">
        <v>22</v>
      </c>
      <c r="B47" s="341">
        <v>2044</v>
      </c>
      <c r="C47" s="202"/>
      <c r="D47" s="284">
        <f t="shared" si="4"/>
        <v>0</v>
      </c>
      <c r="E47" s="190">
        <f t="shared" si="7"/>
        <v>12416000</v>
      </c>
      <c r="F47" s="190">
        <f>$F$32*($F$29+1)^$A47</f>
        <v>15636.781253944726</v>
      </c>
      <c r="G47" s="190">
        <f t="shared" si="8"/>
        <v>8393.0280551592168</v>
      </c>
      <c r="H47" s="182">
        <f t="shared" si="2"/>
        <v>166.08018155689442</v>
      </c>
      <c r="I47" s="215">
        <f t="shared" si="5"/>
        <v>86361.694409585092</v>
      </c>
      <c r="J47" s="215">
        <f t="shared" si="10"/>
        <v>273945.3573388689</v>
      </c>
      <c r="K47" s="294"/>
      <c r="L47" s="215"/>
      <c r="M47" s="215"/>
      <c r="N47" s="286"/>
      <c r="O47" s="301">
        <f>G47*('Trip Multipliers'!J$5+(('Trip Multipliers'!J$16-'Trip Multipliers'!J$5)/(2052-B47)))</f>
        <v>176.7940140691297</v>
      </c>
      <c r="P47" s="300">
        <f>(O47*2*5*52)*(1+'Trip Multipliers'!$J$5+(($B47-$B$37)*(('Trip Multipliers'!$J$16-'Trip Multipliers'!$J$5)/($B$55-$B$37))))</f>
        <v>94273.616055577717</v>
      </c>
      <c r="Q47" s="364">
        <f>$F47*365*'Trip Multipliers'!$C$23*'Census Population Data'!$B$105*(('Trip Multipliers'!$J$6+('Trip Multipliers'!$J$17-'Trip Multipliers'!$J$6)/(2052-$B47)))</f>
        <v>285207.25097906979</v>
      </c>
      <c r="R47" s="302">
        <f t="shared" si="12"/>
        <v>19173.815286193509</v>
      </c>
      <c r="S47" s="312"/>
      <c r="T47" s="310"/>
      <c r="U47" s="310"/>
      <c r="V47" s="312"/>
      <c r="W47" s="301">
        <f>(($P47-$I47))*'Trip Multipliers'!$J$9</f>
        <v>6448.2853374327287</v>
      </c>
      <c r="X47" s="301">
        <f t="shared" si="13"/>
        <v>11261.893640200899</v>
      </c>
      <c r="Y47" s="301">
        <f>(($T47-$L47))*'Trip Multipliers'!$I$9</f>
        <v>0</v>
      </c>
      <c r="Z47" s="301">
        <f t="shared" si="14"/>
        <v>0</v>
      </c>
      <c r="AA47" s="303">
        <f>W47*'Trip Multipliers'!$C$25+X47*'Trip Multipliers'!$C$26+Y47*'Trip Multipliers'!C$29+'Population and Mode Share Proj.'!Z47*'Trip Multipliers'!C$30</f>
        <v>13990.13716431831</v>
      </c>
    </row>
    <row r="48" spans="1:30">
      <c r="A48" s="202">
        <v>23</v>
      </c>
      <c r="B48" s="342">
        <v>2045</v>
      </c>
      <c r="C48" s="202"/>
      <c r="D48" s="284">
        <f t="shared" si="4"/>
        <v>0</v>
      </c>
      <c r="E48" s="190">
        <f t="shared" si="7"/>
        <v>12416285.714285715</v>
      </c>
      <c r="F48" s="190">
        <f t="shared" si="15"/>
        <v>15840.059410246005</v>
      </c>
      <c r="G48" s="190">
        <f t="shared" si="8"/>
        <v>8502.137419876286</v>
      </c>
      <c r="H48" s="182">
        <f t="shared" si="2"/>
        <v>168.23922391713404</v>
      </c>
      <c r="I48" s="215">
        <f t="shared" si="5"/>
        <v>87484.396436909708</v>
      </c>
      <c r="J48" s="215">
        <f t="shared" si="10"/>
        <v>277506.64698427415</v>
      </c>
      <c r="K48" s="294"/>
      <c r="L48" s="215"/>
      <c r="M48" s="215"/>
      <c r="N48" s="286"/>
      <c r="O48" s="301">
        <f>G48*('Trip Multipliers'!J$5+(('Trip Multipliers'!J$16-'Trip Multipliers'!J$5)/(2052-B48)))</f>
        <v>180.64278087129898</v>
      </c>
      <c r="P48" s="300">
        <f>(O48*2*5*52)*(1+'Trip Multipliers'!$J$5+(($B48-$B$37)*(('Trip Multipliers'!$J$16-'Trip Multipliers'!$J$5)/($B$55-$B$37))))</f>
        <v>96379.224629062155</v>
      </c>
      <c r="Q48" s="364">
        <f>$F48*365*'Trip Multipliers'!$C$23*'Census Population Data'!$B$105*(('Trip Multipliers'!$J$6+('Trip Multipliers'!$J$17-'Trip Multipliers'!$J$6)/(2052-$B48)))</f>
        <v>290544.70213572955</v>
      </c>
      <c r="R48" s="302">
        <f t="shared" si="12"/>
        <v>21932.883343607886</v>
      </c>
      <c r="S48" s="312"/>
      <c r="T48" s="310"/>
      <c r="U48" s="310"/>
      <c r="V48" s="312"/>
      <c r="W48" s="301">
        <f>(($P48-$I48))*'Trip Multipliers'!$J$9</f>
        <v>7249.3627688402103</v>
      </c>
      <c r="X48" s="301">
        <f t="shared" si="13"/>
        <v>13038.055151455395</v>
      </c>
      <c r="Y48" s="301">
        <f>(($T48-$L48))*'Trip Multipliers'!$I$9</f>
        <v>0</v>
      </c>
      <c r="Z48" s="301">
        <f t="shared" si="14"/>
        <v>0</v>
      </c>
      <c r="AA48" s="303">
        <f>W48*'Trip Multipliers'!$C$25+X48*'Trip Multipliers'!$C$26+Y48*'Trip Multipliers'!C$29+'Population and Mode Share Proj.'!Z48*'Trip Multipliers'!C$30</f>
        <v>16041.126969272929</v>
      </c>
    </row>
    <row r="49" spans="1:28">
      <c r="A49" s="202">
        <v>24</v>
      </c>
      <c r="B49" s="341">
        <v>2046</v>
      </c>
      <c r="C49" s="202"/>
      <c r="D49" s="284">
        <f t="shared" si="4"/>
        <v>0</v>
      </c>
      <c r="E49" s="190">
        <f t="shared" si="7"/>
        <v>12416571.428571429</v>
      </c>
      <c r="F49" s="190">
        <f t="shared" si="15"/>
        <v>16045.980182579204</v>
      </c>
      <c r="G49" s="190">
        <f t="shared" si="8"/>
        <v>8612.6652063346792</v>
      </c>
      <c r="H49" s="182">
        <f t="shared" si="2"/>
        <v>170.42633382805681</v>
      </c>
      <c r="I49" s="215">
        <f t="shared" si="5"/>
        <v>88621.693590589552</v>
      </c>
      <c r="J49" s="215">
        <f t="shared" si="10"/>
        <v>281114.23339506972</v>
      </c>
      <c r="K49" s="294"/>
      <c r="L49" s="215"/>
      <c r="M49" s="215"/>
      <c r="N49" s="286"/>
      <c r="O49" s="301">
        <f>G49*('Trip Multipliers'!J$5+(('Trip Multipliers'!J$16-'Trip Multipliers'!J$5)/(2052-B49)))</f>
        <v>185.08527088838741</v>
      </c>
      <c r="P49" s="300">
        <f>(O49*2*5*52)*(1+'Trip Multipliers'!$J$5+(($B49-$B$37)*(('Trip Multipliers'!$J$16-'Trip Multipliers'!$J$5)/($B$55-$B$37))))</f>
        <v>98804.051308969298</v>
      </c>
      <c r="Q49" s="364">
        <f>$F49*365*'Trip Multipliers'!$C$23*'Census Population Data'!$B$105*(('Trip Multipliers'!$J$6+('Trip Multipliers'!$J$17-'Trip Multipliers'!$J$6)/(2052-$B49)))</f>
        <v>296523.04157489812</v>
      </c>
      <c r="R49" s="302">
        <f t="shared" si="12"/>
        <v>25591.165898208157</v>
      </c>
      <c r="S49" s="312"/>
      <c r="T49" s="310"/>
      <c r="U49" s="310"/>
      <c r="V49" s="312"/>
      <c r="W49" s="301">
        <f>(($P49-$I49))*'Trip Multipliers'!$J$9</f>
        <v>8298.710593169124</v>
      </c>
      <c r="X49" s="301">
        <f t="shared" si="13"/>
        <v>15408.808179828397</v>
      </c>
      <c r="Y49" s="301">
        <f>(($T49-$L49))*'Trip Multipliers'!$I$9</f>
        <v>0</v>
      </c>
      <c r="Z49" s="301">
        <f t="shared" si="14"/>
        <v>0</v>
      </c>
      <c r="AA49" s="303">
        <f>W49*'Trip Multipliers'!$C$25+X49*'Trip Multipliers'!$C$26+Y49*'Trip Multipliers'!C$29+'Population and Mode Share Proj.'!Z49*'Trip Multipliers'!C$30</f>
        <v>18764.382416339336</v>
      </c>
    </row>
    <row r="50" spans="1:28">
      <c r="A50" s="202">
        <v>25</v>
      </c>
      <c r="B50" s="341">
        <v>2047</v>
      </c>
      <c r="C50" s="202"/>
      <c r="D50" s="284">
        <f t="shared" si="4"/>
        <v>0</v>
      </c>
      <c r="E50" s="190">
        <f t="shared" si="7"/>
        <v>12416857.142857144</v>
      </c>
      <c r="F50" s="190">
        <f t="shared" si="15"/>
        <v>16254.577924952733</v>
      </c>
      <c r="G50" s="190">
        <f t="shared" si="8"/>
        <v>8724.6298540170283</v>
      </c>
      <c r="H50" s="182">
        <f t="shared" si="2"/>
        <v>172.64187616782149</v>
      </c>
      <c r="I50" s="215">
        <f t="shared" si="5"/>
        <v>89773.775607267176</v>
      </c>
      <c r="J50" s="215">
        <f t="shared" si="10"/>
        <v>284768.71842920559</v>
      </c>
      <c r="K50" s="294"/>
      <c r="L50" s="215"/>
      <c r="M50" s="215"/>
      <c r="N50" s="286"/>
      <c r="O50" s="301">
        <f>G50*('Trip Multipliers'!J$5+(('Trip Multipliers'!J$16-'Trip Multipliers'!J$5)/(2052-B50)))</f>
        <v>190.46128005835936</v>
      </c>
      <c r="P50" s="300">
        <f>(O50*2*5*52)*(1+'Trip Multipliers'!$J$5+(($B50-$B$37)*(('Trip Multipliers'!$J$16-'Trip Multipliers'!$J$5)/($B$55-$B$37))))</f>
        <v>101730.11504710461</v>
      </c>
      <c r="Q50" s="364">
        <f>$F50*365*'Trip Multipliers'!$C$23*'Census Population Data'!$B$105*(('Trip Multipliers'!$J$6+('Trip Multipliers'!$J$17-'Trip Multipliers'!$J$6)/(2052-$B50)))</f>
        <v>303499.66565260495</v>
      </c>
      <c r="R50" s="302">
        <f t="shared" si="12"/>
        <v>30687.286663236795</v>
      </c>
      <c r="S50" s="312"/>
      <c r="T50" s="310"/>
      <c r="U50" s="310"/>
      <c r="V50" s="312"/>
      <c r="W50" s="301">
        <f>(($P50-$I50))*'Trip Multipliers'!$J$9</f>
        <v>9744.5212110160792</v>
      </c>
      <c r="X50" s="301">
        <f t="shared" si="13"/>
        <v>18730.947223399358</v>
      </c>
      <c r="Y50" s="301">
        <f>(($T50-$L50))*'Trip Multipliers'!$I$9</f>
        <v>0</v>
      </c>
      <c r="Z50" s="301">
        <f t="shared" si="14"/>
        <v>0</v>
      </c>
      <c r="AA50" s="303">
        <f>W50*'Trip Multipliers'!$C$25+X50*'Trip Multipliers'!$C$26+Y50*'Trip Multipliers'!C$29+'Population and Mode Share Proj.'!Z50*'Trip Multipliers'!C$30</f>
        <v>22562.741467353044</v>
      </c>
    </row>
    <row r="51" spans="1:28">
      <c r="A51" s="202">
        <v>26</v>
      </c>
      <c r="B51" s="342">
        <v>2048</v>
      </c>
      <c r="C51" s="202"/>
      <c r="D51" s="284">
        <f t="shared" si="4"/>
        <v>0</v>
      </c>
      <c r="E51" s="190">
        <f t="shared" si="7"/>
        <v>12417142.857142856</v>
      </c>
      <c r="F51" s="190">
        <f t="shared" si="15"/>
        <v>16465.887437977119</v>
      </c>
      <c r="G51" s="190">
        <f t="shared" si="8"/>
        <v>8838.0500421192501</v>
      </c>
      <c r="H51" s="182">
        <f t="shared" si="2"/>
        <v>174.8862205580032</v>
      </c>
      <c r="I51" s="215">
        <f t="shared" si="5"/>
        <v>90940.834690161661</v>
      </c>
      <c r="J51" s="215">
        <f t="shared" si="10"/>
        <v>288470.71176878526</v>
      </c>
      <c r="K51" s="294"/>
      <c r="L51" s="215"/>
      <c r="M51" s="215"/>
      <c r="N51" s="286"/>
      <c r="O51" s="301">
        <f>G51*('Trip Multipliers'!J$5+(('Trip Multipliers'!J$16-'Trip Multipliers'!J$5)/(2052-B51)))</f>
        <v>197.45004073439677</v>
      </c>
      <c r="P51" s="300">
        <f>(O51*2*5*52)*(1+'Trip Multipliers'!$J$5+(($B51-$B$37)*(('Trip Multipliers'!$J$16-'Trip Multipliers'!$J$5)/($B$55-$B$37))))</f>
        <v>105521.23736352539</v>
      </c>
      <c r="Q51" s="364">
        <f>$F51*365*'Trip Multipliers'!$C$23*'Census Population Data'!$B$105*(('Trip Multipliers'!$J$6+('Trip Multipliers'!$J$17-'Trip Multipliers'!$J$6)/(2052-$B51)))</f>
        <v>312188.77369041485</v>
      </c>
      <c r="R51" s="302">
        <f t="shared" si="12"/>
        <v>38298.464594993333</v>
      </c>
      <c r="S51" s="312"/>
      <c r="T51" s="310"/>
      <c r="U51" s="310"/>
      <c r="V51" s="312"/>
      <c r="W51" s="301">
        <f>(($P51-$I51))*'Trip Multipliers'!$J$9</f>
        <v>11883.155695827265</v>
      </c>
      <c r="X51" s="301">
        <f t="shared" si="13"/>
        <v>23718.061921629589</v>
      </c>
      <c r="Y51" s="301">
        <f>(($T51-$L51))*'Trip Multipliers'!$I$9</f>
        <v>0</v>
      </c>
      <c r="Z51" s="301">
        <f t="shared" si="14"/>
        <v>0</v>
      </c>
      <c r="AA51" s="303">
        <f>W51*'Trip Multipliers'!$C$25+X51*'Trip Multipliers'!$C$26+Y51*'Trip Multipliers'!C$29+'Population and Mode Share Proj.'!Z51*'Trip Multipliers'!C$30</f>
        <v>28241.863495948186</v>
      </c>
    </row>
    <row r="52" spans="1:28">
      <c r="A52" s="202">
        <v>27</v>
      </c>
      <c r="B52" s="341">
        <v>2049</v>
      </c>
      <c r="C52" s="202"/>
      <c r="D52" s="284">
        <f t="shared" si="4"/>
        <v>0</v>
      </c>
      <c r="E52" s="190">
        <f t="shared" si="7"/>
        <v>12417428.571428571</v>
      </c>
      <c r="F52" s="190">
        <f t="shared" si="15"/>
        <v>16679.943974670819</v>
      </c>
      <c r="G52" s="190">
        <f t="shared" si="8"/>
        <v>8952.9446926667988</v>
      </c>
      <c r="H52" s="182">
        <f t="shared" si="2"/>
        <v>177.15974142525721</v>
      </c>
      <c r="I52" s="215">
        <f t="shared" si="5"/>
        <v>92123.06554113375</v>
      </c>
      <c r="J52" s="215">
        <f t="shared" si="10"/>
        <v>292220.83102177945</v>
      </c>
      <c r="K52" s="294"/>
      <c r="L52" s="215"/>
      <c r="M52" s="215"/>
      <c r="N52" s="286"/>
      <c r="O52" s="301">
        <f>G52*('Trip Multipliers'!J$5+(('Trip Multipliers'!J$16-'Trip Multipliers'!J$5)/(2052-B52)))</f>
        <v>207.63594121017277</v>
      </c>
      <c r="P52" s="300">
        <f>(O52*2*5*52)*(1+'Trip Multipliers'!$J$5+(($B52-$B$37)*(('Trip Multipliers'!$J$16-'Trip Multipliers'!$J$5)/($B$55-$B$37))))</f>
        <v>111026.04173121016</v>
      </c>
      <c r="Q52" s="364">
        <f>$F52*365*'Trip Multipliers'!$C$23*'Census Population Data'!$B$105*(('Trip Multipliers'!$J$6+('Trip Multipliers'!$J$17-'Trip Multipliers'!$J$6)/(2052-$B52)))</f>
        <v>324256.02665726037</v>
      </c>
      <c r="R52" s="302">
        <f t="shared" si="12"/>
        <v>50938.171825557365</v>
      </c>
      <c r="S52" s="312"/>
      <c r="T52" s="310"/>
      <c r="U52" s="310"/>
      <c r="V52" s="312"/>
      <c r="W52" s="301">
        <f>(($P52-$I52))*'Trip Multipliers'!$J$9</f>
        <v>15406.090916237486</v>
      </c>
      <c r="X52" s="301">
        <f t="shared" si="13"/>
        <v>32035.195635480923</v>
      </c>
      <c r="Y52" s="301">
        <f>(($T52-$L52))*'Trip Multipliers'!$I$9</f>
        <v>0</v>
      </c>
      <c r="Z52" s="301">
        <f t="shared" si="14"/>
        <v>0</v>
      </c>
      <c r="AA52" s="303">
        <f>W52*'Trip Multipliers'!$C$25+X52*'Trip Multipliers'!$C$26+Y52*'Trip Multipliers'!C$29+'Population and Mode Share Proj.'!Z52*'Trip Multipliers'!C$30</f>
        <v>37681.597837140151</v>
      </c>
    </row>
    <row r="53" spans="1:28">
      <c r="A53" s="202">
        <v>28</v>
      </c>
      <c r="B53" s="341">
        <v>2050</v>
      </c>
      <c r="C53" s="202"/>
      <c r="D53" s="284">
        <f t="shared" si="4"/>
        <v>0</v>
      </c>
      <c r="E53" s="190">
        <f t="shared" si="7"/>
        <v>12417714.285714285</v>
      </c>
      <c r="F53" s="190">
        <f t="shared" si="15"/>
        <v>16896.78324634154</v>
      </c>
      <c r="G53" s="190">
        <f t="shared" si="8"/>
        <v>9069.3329736714677</v>
      </c>
      <c r="H53" s="182">
        <f t="shared" si="2"/>
        <v>179.46281806378556</v>
      </c>
      <c r="I53" s="215">
        <f t="shared" si="5"/>
        <v>93320.665393168485</v>
      </c>
      <c r="J53" s="215">
        <f t="shared" si="10"/>
        <v>296019.70182506263</v>
      </c>
      <c r="K53" s="294"/>
      <c r="L53" s="215"/>
      <c r="M53" s="215"/>
      <c r="N53" s="286"/>
      <c r="O53" s="301">
        <f>G53*('Trip Multipliers'!J$5+(('Trip Multipliers'!J$16-'Trip Multipliers'!J$5)/(2052-B53)))</f>
        <v>225.77140363696478</v>
      </c>
      <c r="P53" s="300">
        <f>(O53*2*5*52)*(1+'Trip Multipliers'!$J$5+(($B53-$B$37)*(('Trip Multipliers'!$J$16-'Trip Multipliers'!$J$5)/($B$55-$B$37))))</f>
        <v>120789.95099550617</v>
      </c>
      <c r="Q53" s="364">
        <f>$F53*365*'Trip Multipliers'!$C$23*'Census Population Data'!$B$105*(('Trip Multipliers'!$J$6+('Trip Multipliers'!$J$17-'Trip Multipliers'!$J$6)/(2052-$B53)))</f>
        <v>344697.1815931758</v>
      </c>
      <c r="R53" s="302">
        <f>(Q53+P53)-(I53+J53)</f>
        <v>76146.765370450914</v>
      </c>
      <c r="S53" s="312"/>
      <c r="T53" s="310"/>
      <c r="U53" s="310"/>
      <c r="V53" s="312"/>
      <c r="W53" s="301">
        <f>(($P53-$I53))*'Trip Multipliers'!$J$9</f>
        <v>22387.70800631247</v>
      </c>
      <c r="X53" s="301">
        <f t="shared" si="13"/>
        <v>48677.479768113175</v>
      </c>
      <c r="Y53" s="301">
        <f>(($T53-$L53))*'Trip Multipliers'!$I$9</f>
        <v>0</v>
      </c>
      <c r="Z53" s="301">
        <f t="shared" si="14"/>
        <v>0</v>
      </c>
      <c r="AA53" s="303">
        <f>W53*'Trip Multipliers'!$C$25+X53*'Trip Multipliers'!$C$26+Y53*'Trip Multipliers'!C$29+'Population and Mode Share Proj.'!Z53*'Trip Multipliers'!C$30</f>
        <v>56521.457972078912</v>
      </c>
    </row>
    <row r="54" spans="1:28">
      <c r="A54" s="202">
        <v>29</v>
      </c>
      <c r="B54" s="307">
        <v>2051</v>
      </c>
      <c r="C54" s="308"/>
      <c r="D54" s="309">
        <f t="shared" si="4"/>
        <v>0</v>
      </c>
      <c r="E54" s="190">
        <f>E$32+(E$19*(B54-2023))</f>
        <v>12418000</v>
      </c>
      <c r="F54" s="310">
        <f t="shared" si="15"/>
        <v>17116.441428543978</v>
      </c>
      <c r="G54" s="310">
        <f t="shared" si="8"/>
        <v>9187.234302329196</v>
      </c>
      <c r="H54" s="311">
        <f t="shared" si="2"/>
        <v>181.79583469861475</v>
      </c>
      <c r="I54" s="312">
        <f t="shared" si="5"/>
        <v>94533.834043279669</v>
      </c>
      <c r="J54" s="312">
        <f t="shared" si="10"/>
        <v>299867.95794878836</v>
      </c>
      <c r="K54" s="294"/>
      <c r="L54" s="312"/>
      <c r="M54" s="312"/>
      <c r="N54" s="313"/>
      <c r="O54" s="301">
        <f>G54*('Trip Multipliers'!J$5+(('Trip Multipliers'!J$16-'Trip Multipliers'!J$5)/(2052-B54)))</f>
        <v>275.61702906987585</v>
      </c>
      <c r="P54" s="300">
        <f>(O54*2*5*52)*(1+'Trip Multipliers'!$J$5+(($B54-$B$37)*(('Trip Multipliers'!$J$16-'Trip Multipliers'!$J$5)/($B$55-$B$37))))</f>
        <v>147539.16906803707</v>
      </c>
      <c r="Q54" s="364">
        <f>$F54*365*'Trip Multipliers'!$C$23*'Census Population Data'!$B$105*(('Trip Multipliers'!$J$6+('Trip Multipliers'!$J$17-'Trip Multipliers'!$J$6)/(2052-$B54)))</f>
        <v>398488.53195898584</v>
      </c>
      <c r="R54" s="302">
        <f>(Q54+P54)-(I54+J54)</f>
        <v>151625.90903495485</v>
      </c>
      <c r="S54" s="312"/>
      <c r="T54" s="310"/>
      <c r="U54" s="310"/>
      <c r="V54" s="312"/>
      <c r="W54" s="312">
        <f>(($P54-$I54))*'Trip Multipliers'!$J$9</f>
        <v>43199.811618327949</v>
      </c>
      <c r="X54" s="312">
        <f t="shared" si="13"/>
        <v>98620.574010197481</v>
      </c>
      <c r="Y54" s="312">
        <f>(($T54-$L54))*'Trip Multipliers'!$I$9</f>
        <v>0</v>
      </c>
      <c r="Z54" s="312">
        <f t="shared" si="14"/>
        <v>0</v>
      </c>
      <c r="AA54" s="314">
        <f>W54*'Trip Multipliers'!$C$25+X54*'Trip Multipliers'!$C$26+Y54*'Trip Multipliers'!C$29+'Population and Mode Share Proj.'!Z54*'Trip Multipliers'!C$30</f>
        <v>112958.94079366002</v>
      </c>
      <c r="AB54" s="315"/>
    </row>
    <row r="55" spans="1:28">
      <c r="A55" s="202">
        <v>30</v>
      </c>
      <c r="B55" s="308">
        <v>2052</v>
      </c>
      <c r="C55" s="308"/>
      <c r="D55" s="309">
        <f t="shared" si="4"/>
        <v>0</v>
      </c>
      <c r="E55" s="310"/>
      <c r="F55" s="310">
        <f t="shared" si="15"/>
        <v>17338.955167115051</v>
      </c>
      <c r="G55" s="310">
        <f t="shared" si="8"/>
        <v>9306.6683482594763</v>
      </c>
      <c r="H55" s="311">
        <f t="shared" si="2"/>
        <v>184.15918054969677</v>
      </c>
      <c r="I55" s="312">
        <f t="shared" si="5"/>
        <v>95762.773885842325</v>
      </c>
      <c r="J55" s="312">
        <f t="shared" si="10"/>
        <v>303766.24140212266</v>
      </c>
      <c r="K55" s="294"/>
      <c r="L55" s="312"/>
      <c r="M55" s="312"/>
      <c r="N55" s="313"/>
      <c r="O55" s="301"/>
      <c r="P55" s="310">
        <f>(O55*2*5*52)*(1+'Trip Multipliers'!$J$5+(($B55-$B$37)*(('Trip Multipliers'!$J$16-'Trip Multipliers'!$J$5)/($B$57-$B$37))))</f>
        <v>0</v>
      </c>
      <c r="Q55" s="300"/>
      <c r="R55" s="312"/>
      <c r="S55" s="312"/>
      <c r="T55" s="310"/>
      <c r="U55" s="310"/>
      <c r="V55" s="312"/>
      <c r="W55" s="312">
        <f>(($P55-$I55))*'Trip Multipliers'!$J$9</f>
        <v>-78047.498237388194</v>
      </c>
      <c r="X55" s="312">
        <f t="shared" si="13"/>
        <v>-303766.24140212266</v>
      </c>
      <c r="Y55" s="312">
        <f>(($T55-$L55))*'Trip Multipliers'!$I$9</f>
        <v>0</v>
      </c>
      <c r="Z55" s="312">
        <f t="shared" si="14"/>
        <v>0</v>
      </c>
      <c r="AA55" s="314">
        <f>W55*'Trip Multipliers'!$C$25+X55*'Trip Multipliers'!$C$26+Y55*'Trip Multipliers'!C$29+'Population and Mode Share Proj.'!Z55*'Trip Multipliers'!C$30</f>
        <v>-308320.17909468128</v>
      </c>
      <c r="AB55" s="315"/>
    </row>
    <row r="56" spans="1:28">
      <c r="A56" s="202">
        <v>31</v>
      </c>
      <c r="B56" s="308">
        <v>2053</v>
      </c>
      <c r="C56" s="308"/>
      <c r="D56" s="309">
        <f t="shared" si="4"/>
        <v>0</v>
      </c>
      <c r="E56" s="310"/>
      <c r="F56" s="310">
        <f t="shared" si="15"/>
        <v>17564.361584287544</v>
      </c>
      <c r="G56" s="310">
        <f t="shared" si="8"/>
        <v>9427.6550367868495</v>
      </c>
      <c r="H56" s="311">
        <f t="shared" si="2"/>
        <v>186.55324989684283</v>
      </c>
      <c r="I56" s="312">
        <f t="shared" si="5"/>
        <v>97007.689946358267</v>
      </c>
      <c r="J56" s="312">
        <f t="shared" si="10"/>
        <v>307715.2025403502</v>
      </c>
      <c r="K56" s="294"/>
      <c r="L56" s="312"/>
      <c r="M56" s="312"/>
      <c r="N56" s="313"/>
      <c r="O56" s="301"/>
      <c r="P56" s="310">
        <f>(O56*2*5*52)*(1+'Trip Multipliers'!$J$5+(($B56-$B$37)*(('Trip Multipliers'!$J$16-'Trip Multipliers'!$J$5)/($B$57-$B$37))))</f>
        <v>0</v>
      </c>
      <c r="Q56" s="300"/>
      <c r="R56" s="312"/>
      <c r="S56" s="312"/>
      <c r="T56" s="310"/>
      <c r="U56" s="310"/>
      <c r="V56" s="312"/>
      <c r="W56" s="312">
        <f>(($P56-$I56))*'Trip Multipliers'!$J$9</f>
        <v>-79062.115714474232</v>
      </c>
      <c r="X56" s="312">
        <f t="shared" si="13"/>
        <v>-307715.2025403502</v>
      </c>
      <c r="Y56" s="312">
        <f>(($T56-$L56))*'Trip Multipliers'!$I$9</f>
        <v>0</v>
      </c>
      <c r="Z56" s="312">
        <f t="shared" si="14"/>
        <v>0</v>
      </c>
      <c r="AA56" s="314">
        <f>W56*'Trip Multipliers'!$C$25+X56*'Trip Multipliers'!$C$26+Y56*'Trip Multipliers'!C$29+'Population and Mode Share Proj.'!Z56*'Trip Multipliers'!C$30</f>
        <v>-312328.34142291208</v>
      </c>
      <c r="AB56" s="315"/>
    </row>
    <row r="57" spans="1:28" ht="15" customHeight="1">
      <c r="A57" s="202">
        <v>32</v>
      </c>
      <c r="B57" s="307">
        <v>2054</v>
      </c>
      <c r="C57" s="307"/>
      <c r="D57" s="316">
        <f t="shared" si="4"/>
        <v>0</v>
      </c>
      <c r="E57" s="317"/>
      <c r="F57" s="317">
        <f t="shared" si="15"/>
        <v>17792.698284883281</v>
      </c>
      <c r="G57" s="317">
        <f t="shared" si="8"/>
        <v>9550.2145522650771</v>
      </c>
      <c r="H57" s="318">
        <f t="shared" si="2"/>
        <v>188.97844214550176</v>
      </c>
      <c r="I57" s="319">
        <f>H57*2*5*52</f>
        <v>98268.789915660906</v>
      </c>
      <c r="J57" s="319">
        <f t="shared" si="10"/>
        <v>311715.50017337478</v>
      </c>
      <c r="K57" s="294"/>
      <c r="L57" s="319"/>
      <c r="M57" s="319"/>
      <c r="N57" s="320"/>
      <c r="O57" s="301"/>
      <c r="P57" s="310">
        <f>(O57*2*5*52)*(1+'Trip Multipliers'!$J$5+(($B57-$B$37)*(('Trip Multipliers'!$J$16-'Trip Multipliers'!$J$5)/($B$57-$B$37))))</f>
        <v>0</v>
      </c>
      <c r="Q57" s="300"/>
      <c r="R57" s="319"/>
      <c r="S57" s="312"/>
      <c r="T57" s="310"/>
      <c r="U57" s="310"/>
      <c r="V57" s="319"/>
      <c r="W57" s="312">
        <f>(($P57-$I57))*'Trip Multipliers'!$J$9</f>
        <v>-80089.923218762386</v>
      </c>
      <c r="X57" s="312">
        <f t="shared" si="13"/>
        <v>-311715.50017337478</v>
      </c>
      <c r="Y57" s="312">
        <f>(($T57-$L57))*'Trip Multipliers'!$I$9</f>
        <v>0</v>
      </c>
      <c r="Z57" s="312">
        <f t="shared" si="14"/>
        <v>0</v>
      </c>
      <c r="AA57" s="314">
        <f>W57*'Trip Multipliers'!$C$25+X57*'Trip Multipliers'!$C$26+Y57*'Trip Multipliers'!C$29+'Population and Mode Share Proj.'!Z57*'Trip Multipliers'!C$30</f>
        <v>-316388.60986140999</v>
      </c>
      <c r="AB57" s="315"/>
    </row>
    <row r="58" spans="1:28" ht="15" customHeight="1">
      <c r="B58" s="315"/>
      <c r="C58" s="315"/>
      <c r="D58" s="310"/>
      <c r="E58" s="330">
        <f>((E46)-E32)/21</f>
        <v>272.10884353740232</v>
      </c>
      <c r="F58" s="310"/>
      <c r="G58" s="310"/>
      <c r="H58" s="310"/>
      <c r="I58" s="315"/>
      <c r="J58" s="312"/>
      <c r="K58" s="310"/>
      <c r="L58" s="310"/>
      <c r="M58" s="321"/>
      <c r="N58" s="321"/>
      <c r="O58" s="315"/>
      <c r="P58" s="321"/>
      <c r="Q58" s="321"/>
      <c r="R58" s="312"/>
      <c r="S58" s="312"/>
      <c r="T58" s="321"/>
      <c r="U58" s="321"/>
      <c r="V58" s="321"/>
      <c r="W58" s="312"/>
      <c r="X58" s="312"/>
      <c r="Y58" s="321"/>
      <c r="Z58" s="315"/>
      <c r="AA58" s="315"/>
      <c r="AB58" s="315"/>
    </row>
    <row r="59" spans="1:28" ht="16.5" customHeight="1">
      <c r="B59" s="396" t="s">
        <v>483</v>
      </c>
      <c r="C59" s="225"/>
      <c r="T59" s="214"/>
    </row>
    <row r="60" spans="1:28">
      <c r="B60" s="396" t="s">
        <v>813</v>
      </c>
    </row>
    <row r="61" spans="1:28">
      <c r="B61" s="396" t="s">
        <v>484</v>
      </c>
    </row>
    <row r="62" spans="1:28">
      <c r="B62" s="396" t="s">
        <v>568</v>
      </c>
    </row>
    <row r="63" spans="1:28">
      <c r="B63" s="315"/>
    </row>
  </sheetData>
  <mergeCells count="3">
    <mergeCell ref="A2:G2"/>
    <mergeCell ref="D30:M30"/>
    <mergeCell ref="O30:Y3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25B24-BC2D-4DBA-9FEB-AE92F7F279C0}">
  <dimension ref="A2:Q50"/>
  <sheetViews>
    <sheetView workbookViewId="0">
      <selection activeCell="C25" sqref="C25"/>
    </sheetView>
  </sheetViews>
  <sheetFormatPr defaultColWidth="9.140625" defaultRowHeight="12.75"/>
  <cols>
    <col min="1" max="1" width="9.140625" style="183"/>
    <col min="2" max="2" width="39.85546875" style="183" customWidth="1"/>
    <col min="3" max="3" width="65" style="183" customWidth="1"/>
    <col min="4" max="4" width="42.5703125" style="183" customWidth="1"/>
    <col min="5" max="5" width="25" style="183" bestFit="1" customWidth="1"/>
    <col min="6" max="6" width="13.28515625" style="183" bestFit="1" customWidth="1"/>
    <col min="7" max="7" width="12.140625" style="183" bestFit="1" customWidth="1"/>
    <col min="8" max="8" width="10.85546875" style="183" bestFit="1" customWidth="1"/>
    <col min="9" max="9" width="9.140625" style="183"/>
    <col min="10" max="10" width="20.42578125" style="183" bestFit="1" customWidth="1"/>
    <col min="11" max="11" width="13.140625" style="183" bestFit="1" customWidth="1"/>
    <col min="12" max="12" width="15.28515625" style="183" bestFit="1" customWidth="1"/>
    <col min="13" max="16384" width="9.140625" style="183"/>
  </cols>
  <sheetData>
    <row r="2" spans="2:14">
      <c r="B2" s="443" t="s">
        <v>485</v>
      </c>
      <c r="C2" s="444"/>
      <c r="D2" s="444"/>
      <c r="E2" s="444"/>
      <c r="F2" s="444"/>
      <c r="G2" s="444"/>
      <c r="H2" s="444"/>
      <c r="I2" s="444"/>
      <c r="J2" s="444"/>
      <c r="K2" s="444"/>
      <c r="L2" s="445"/>
    </row>
    <row r="3" spans="2:14">
      <c r="B3" s="199" t="s">
        <v>486</v>
      </c>
      <c r="C3" s="226"/>
      <c r="L3" s="216"/>
    </row>
    <row r="4" spans="2:14">
      <c r="B4" s="199"/>
      <c r="C4" s="226" t="s">
        <v>488</v>
      </c>
      <c r="D4" s="226" t="s">
        <v>333</v>
      </c>
      <c r="E4" s="226" t="s">
        <v>489</v>
      </c>
      <c r="F4" s="226" t="s">
        <v>490</v>
      </c>
      <c r="G4" s="226" t="s">
        <v>451</v>
      </c>
      <c r="H4" s="226" t="s">
        <v>452</v>
      </c>
      <c r="I4" s="226" t="s">
        <v>453</v>
      </c>
      <c r="J4" s="226" t="s">
        <v>454</v>
      </c>
      <c r="K4" s="226" t="s">
        <v>477</v>
      </c>
      <c r="L4" s="227" t="s">
        <v>491</v>
      </c>
    </row>
    <row r="5" spans="2:14">
      <c r="B5" s="202" t="s">
        <v>492</v>
      </c>
      <c r="C5" s="183" t="s">
        <v>524</v>
      </c>
      <c r="D5" s="228">
        <f>'Population and Mode Share Proj.'!D22</f>
        <v>1</v>
      </c>
      <c r="E5" s="228">
        <f>'Population and Mode Share Proj.'!F22</f>
        <v>0.76586987494063641</v>
      </c>
      <c r="F5" s="228">
        <f>'Population and Mode Share Proj.'!G22</f>
        <v>7.9468101947126807E-2</v>
      </c>
      <c r="G5" s="228">
        <f>'Population and Mode Share Proj.'!H22</f>
        <v>4.9073927497229695E-3</v>
      </c>
      <c r="H5" s="228">
        <f>'Population and Mode Share Proj.'!I22</f>
        <v>0</v>
      </c>
      <c r="I5" s="228">
        <f>'Population and Mode Share Proj.'!J22</f>
        <v>0</v>
      </c>
      <c r="J5" s="274">
        <f>'Population and Mode Share Proj.'!K22</f>
        <v>1.9787873990818425E-2</v>
      </c>
      <c r="K5" s="228">
        <f>'Population and Mode Share Proj.'!L22</f>
        <v>6.4904226689884437E-3</v>
      </c>
      <c r="L5" s="229">
        <f>'Population and Mode Share Proj.'!M22</f>
        <v>0.12347633370270698</v>
      </c>
    </row>
    <row r="6" spans="2:14">
      <c r="B6" s="189" t="s">
        <v>493</v>
      </c>
      <c r="C6" s="206" t="s">
        <v>525</v>
      </c>
      <c r="D6" s="228">
        <f>D5</f>
        <v>1</v>
      </c>
      <c r="E6" s="228">
        <f>'Population and Mode Share Proj.'!F20/'Population and Mode Share Proj.'!D21</f>
        <v>0.87375835289868165</v>
      </c>
      <c r="F6" s="228">
        <f>'Population and Mode Share Proj.'!G20/'Population and Mode Share Proj.'!$D$21</f>
        <v>9.0662813798085606E-2</v>
      </c>
      <c r="G6" s="228">
        <f>'Population and Mode Share Proj.'!H20/'Population and Mode Share Proj.'!$D$21</f>
        <v>5.598699656853892E-3</v>
      </c>
      <c r="H6" s="228">
        <f>'Population and Mode Share Proj.'!I20/'Population and Mode Share Proj.'!$D$21</f>
        <v>0</v>
      </c>
      <c r="I6" s="228">
        <f>'Population and Mode Share Proj.'!J20/'Population and Mode Share Proj.'!$D$21</f>
        <v>0</v>
      </c>
      <c r="J6" s="274">
        <f>'Population and Mode Share Proj.'!K20/'Population and Mode Share Proj.'!$D$21</f>
        <v>2.257540184215279E-2</v>
      </c>
      <c r="K6" s="228">
        <f>'Population and Mode Share Proj.'!L20/'Population and Mode Share Proj.'!$D$21</f>
        <v>7.4047318042261149E-3</v>
      </c>
      <c r="L6" s="229" t="s">
        <v>494</v>
      </c>
    </row>
    <row r="7" spans="2:14">
      <c r="B7" s="202"/>
      <c r="L7" s="216"/>
    </row>
    <row r="8" spans="2:14">
      <c r="B8" s="199" t="s">
        <v>495</v>
      </c>
      <c r="L8" s="216"/>
    </row>
    <row r="9" spans="2:14" ht="15">
      <c r="B9" s="189" t="s">
        <v>492</v>
      </c>
      <c r="C9" s="206" t="s">
        <v>496</v>
      </c>
      <c r="D9" s="206" t="s">
        <v>497</v>
      </c>
      <c r="E9" s="230" t="s">
        <v>498</v>
      </c>
      <c r="F9" s="230"/>
      <c r="G9" s="230" t="s">
        <v>498</v>
      </c>
      <c r="H9" s="230" t="s">
        <v>498</v>
      </c>
      <c r="I9" s="231"/>
      <c r="J9" s="231">
        <f>$E$5/($D$5-J$5)+($F$5/($D$5-J$5)/2.40727953019561)</f>
        <v>0.81500874578286231</v>
      </c>
      <c r="K9" s="230" t="s">
        <v>494</v>
      </c>
      <c r="L9" s="232" t="s">
        <v>494</v>
      </c>
      <c r="M9" s="233"/>
      <c r="N9"/>
    </row>
    <row r="10" spans="2:14" ht="15">
      <c r="B10" s="189" t="s">
        <v>499</v>
      </c>
      <c r="C10" s="206" t="s">
        <v>496</v>
      </c>
      <c r="D10" s="206" t="s">
        <v>497</v>
      </c>
      <c r="E10" s="230" t="s">
        <v>498</v>
      </c>
      <c r="F10" s="230"/>
      <c r="G10" s="230" t="s">
        <v>498</v>
      </c>
      <c r="H10" s="230" t="s">
        <v>498</v>
      </c>
      <c r="I10" s="231"/>
      <c r="J10" s="231">
        <f>E6/(D6-J6)+(F6/(D6-J6)/2.40727953019561)</f>
        <v>0.93247120360079161</v>
      </c>
      <c r="K10" s="230" t="s">
        <v>494</v>
      </c>
      <c r="L10" s="232" t="s">
        <v>494</v>
      </c>
      <c r="M10" s="233"/>
      <c r="N10"/>
    </row>
    <row r="11" spans="2:14" ht="15">
      <c r="B11" s="218"/>
      <c r="C11" s="204"/>
      <c r="D11" s="204"/>
      <c r="E11" s="204"/>
      <c r="F11" s="204"/>
      <c r="G11" s="204"/>
      <c r="H11" s="204"/>
      <c r="I11" s="204"/>
      <c r="J11" s="204"/>
      <c r="K11" s="204"/>
      <c r="L11" s="205"/>
      <c r="N11"/>
    </row>
    <row r="12" spans="2:14">
      <c r="J12" s="234"/>
    </row>
    <row r="13" spans="2:14">
      <c r="B13" s="443" t="s">
        <v>500</v>
      </c>
      <c r="C13" s="444"/>
      <c r="D13" s="444"/>
      <c r="E13" s="444"/>
      <c r="F13" s="444"/>
      <c r="G13" s="444"/>
      <c r="H13" s="444"/>
      <c r="I13" s="444"/>
      <c r="J13" s="444"/>
      <c r="K13" s="444"/>
      <c r="L13" s="445"/>
    </row>
    <row r="14" spans="2:14">
      <c r="B14" s="199" t="s">
        <v>526</v>
      </c>
      <c r="L14" s="216"/>
    </row>
    <row r="15" spans="2:14">
      <c r="B15" s="199" t="s">
        <v>487</v>
      </c>
      <c r="L15" s="216"/>
    </row>
    <row r="16" spans="2:14">
      <c r="B16" s="202" t="s">
        <v>527</v>
      </c>
      <c r="I16" s="228"/>
      <c r="J16" s="273">
        <v>0.03</v>
      </c>
      <c r="L16" s="216"/>
    </row>
    <row r="17" spans="1:12">
      <c r="B17" s="202" t="s">
        <v>528</v>
      </c>
      <c r="I17" s="228"/>
      <c r="J17" s="273">
        <v>0.03</v>
      </c>
      <c r="L17" s="216"/>
    </row>
    <row r="18" spans="1:12">
      <c r="B18" s="213" t="s">
        <v>501</v>
      </c>
      <c r="L18" s="216"/>
    </row>
    <row r="19" spans="1:12">
      <c r="A19" s="206"/>
      <c r="B19" s="235" t="s">
        <v>527</v>
      </c>
      <c r="I19" s="236"/>
      <c r="J19" s="236">
        <f>(J16-J5)/J5</f>
        <v>0.51608000000000009</v>
      </c>
      <c r="L19" s="216"/>
    </row>
    <row r="20" spans="1:12">
      <c r="B20" s="237" t="s">
        <v>528</v>
      </c>
      <c r="C20" s="204"/>
      <c r="D20" s="204"/>
      <c r="E20" s="204"/>
      <c r="F20" s="204"/>
      <c r="G20" s="204"/>
      <c r="H20" s="204"/>
      <c r="I20" s="238"/>
      <c r="J20" s="238">
        <f>(J17-J6)/J6</f>
        <v>0.32887999999999995</v>
      </c>
      <c r="K20" s="204"/>
      <c r="L20" s="205"/>
    </row>
    <row r="21" spans="1:12">
      <c r="J21" s="183" t="s">
        <v>542</v>
      </c>
    </row>
    <row r="22" spans="1:12">
      <c r="B22" s="239" t="s">
        <v>502</v>
      </c>
      <c r="C22" s="240" t="s">
        <v>503</v>
      </c>
      <c r="D22" s="241" t="s">
        <v>488</v>
      </c>
      <c r="J22" s="382" t="s">
        <v>822</v>
      </c>
    </row>
    <row r="23" spans="1:12" ht="15">
      <c r="B23" s="202" t="s">
        <v>504</v>
      </c>
      <c r="C23" s="276">
        <f>L47</f>
        <v>3.2743172752378031</v>
      </c>
      <c r="D23" s="242" t="s">
        <v>505</v>
      </c>
      <c r="J23"/>
    </row>
    <row r="24" spans="1:12" ht="15">
      <c r="B24" s="202" t="s">
        <v>506</v>
      </c>
      <c r="C24" s="243"/>
      <c r="D24" s="242"/>
      <c r="J24" s="383" t="s">
        <v>821</v>
      </c>
    </row>
    <row r="25" spans="1:12">
      <c r="B25" s="244" t="s">
        <v>545</v>
      </c>
      <c r="C25" s="243">
        <v>0.72</v>
      </c>
      <c r="D25" s="242" t="s">
        <v>507</v>
      </c>
    </row>
    <row r="26" spans="1:12">
      <c r="B26" s="244" t="s">
        <v>546</v>
      </c>
      <c r="C26" s="243">
        <v>0.83</v>
      </c>
      <c r="D26" s="242" t="s">
        <v>507</v>
      </c>
    </row>
    <row r="27" spans="1:12">
      <c r="B27" s="202" t="s">
        <v>530</v>
      </c>
      <c r="C27" s="276">
        <f>L48</f>
        <v>1.5044843049327354</v>
      </c>
      <c r="D27" s="242" t="s">
        <v>505</v>
      </c>
    </row>
    <row r="28" spans="1:12">
      <c r="B28" s="202" t="s">
        <v>506</v>
      </c>
      <c r="C28" s="243"/>
      <c r="D28" s="242"/>
    </row>
    <row r="29" spans="1:12">
      <c r="B29" s="244" t="s">
        <v>547</v>
      </c>
      <c r="C29" s="243">
        <v>1.5</v>
      </c>
      <c r="D29" s="242" t="s">
        <v>507</v>
      </c>
      <c r="E29" s="183" t="s">
        <v>549</v>
      </c>
    </row>
    <row r="30" spans="1:12">
      <c r="B30" s="244" t="s">
        <v>548</v>
      </c>
      <c r="C30" s="243">
        <v>1.5</v>
      </c>
      <c r="D30" s="242" t="s">
        <v>507</v>
      </c>
    </row>
    <row r="31" spans="1:12">
      <c r="B31" s="275"/>
      <c r="C31" s="243"/>
      <c r="D31" s="243"/>
    </row>
    <row r="33" spans="2:17">
      <c r="B33" s="239" t="s">
        <v>508</v>
      </c>
      <c r="C33" s="184"/>
      <c r="D33" s="184"/>
      <c r="E33" s="185"/>
    </row>
    <row r="34" spans="2:17">
      <c r="B34" s="199" t="s">
        <v>533</v>
      </c>
      <c r="E34" s="216"/>
    </row>
    <row r="35" spans="2:17">
      <c r="B35" s="199" t="s">
        <v>487</v>
      </c>
      <c r="C35" s="245" t="s">
        <v>461</v>
      </c>
      <c r="D35" s="245" t="s">
        <v>541</v>
      </c>
      <c r="E35" s="246" t="s">
        <v>509</v>
      </c>
      <c r="Q35" s="183">
        <f>AVERAGE(0.5,0.53,1.25,0.54,1.1,1.47)</f>
        <v>0.89833333333333343</v>
      </c>
    </row>
    <row r="36" spans="2:17">
      <c r="B36" s="202" t="s">
        <v>492</v>
      </c>
      <c r="C36" s="247">
        <f>J5</f>
        <v>1.9787873990818425E-2</v>
      </c>
      <c r="D36" s="248">
        <f>J16</f>
        <v>0.03</v>
      </c>
      <c r="E36" s="249">
        <f>J9</f>
        <v>0.81500874578286231</v>
      </c>
    </row>
    <row r="37" spans="2:17">
      <c r="B37" s="218" t="s">
        <v>499</v>
      </c>
      <c r="C37" s="250">
        <f>J6</f>
        <v>2.257540184215279E-2</v>
      </c>
      <c r="D37" s="251">
        <f>J17</f>
        <v>0.03</v>
      </c>
      <c r="E37" s="252">
        <f>J10</f>
        <v>0.93247120360079161</v>
      </c>
    </row>
    <row r="38" spans="2:17">
      <c r="B38" s="202" t="s">
        <v>531</v>
      </c>
      <c r="C38" s="247">
        <f>I5</f>
        <v>0</v>
      </c>
      <c r="D38" s="248">
        <f>I16</f>
        <v>0</v>
      </c>
      <c r="E38" s="249">
        <f>I9</f>
        <v>0</v>
      </c>
    </row>
    <row r="39" spans="2:17">
      <c r="B39" s="218" t="s">
        <v>532</v>
      </c>
      <c r="C39" s="250">
        <f>I6</f>
        <v>0</v>
      </c>
      <c r="D39" s="251">
        <f>I17</f>
        <v>0</v>
      </c>
      <c r="E39" s="252">
        <f>I10</f>
        <v>0</v>
      </c>
    </row>
    <row r="40" spans="2:17" ht="13.5" thickBot="1"/>
    <row r="41" spans="2:17">
      <c r="B41" s="253"/>
      <c r="C41" s="446" t="s">
        <v>543</v>
      </c>
      <c r="D41" s="446"/>
      <c r="E41" s="446"/>
      <c r="F41" s="446"/>
      <c r="G41" s="446"/>
      <c r="H41" s="446"/>
      <c r="I41" s="446"/>
      <c r="J41" s="446"/>
      <c r="K41" s="446"/>
      <c r="L41" s="447"/>
    </row>
    <row r="42" spans="2:17">
      <c r="B42" s="448" t="s">
        <v>510</v>
      </c>
      <c r="C42" s="450" t="s">
        <v>511</v>
      </c>
      <c r="D42" s="450"/>
      <c r="E42" s="450"/>
      <c r="F42" s="450"/>
      <c r="G42" s="450"/>
      <c r="H42" s="450"/>
      <c r="I42" s="450"/>
      <c r="J42" s="450"/>
      <c r="K42" s="450"/>
      <c r="L42" s="451" t="s">
        <v>350</v>
      </c>
    </row>
    <row r="43" spans="2:17" ht="38.25">
      <c r="B43" s="449"/>
      <c r="C43" s="254" t="s">
        <v>512</v>
      </c>
      <c r="D43" s="254" t="s">
        <v>513</v>
      </c>
      <c r="E43" s="254" t="s">
        <v>514</v>
      </c>
      <c r="F43" s="254" t="s">
        <v>515</v>
      </c>
      <c r="G43" s="254" t="s">
        <v>516</v>
      </c>
      <c r="H43" s="254" t="s">
        <v>517</v>
      </c>
      <c r="I43" s="254" t="s">
        <v>518</v>
      </c>
      <c r="J43" s="254" t="s">
        <v>519</v>
      </c>
      <c r="K43" s="254" t="s">
        <v>520</v>
      </c>
      <c r="L43" s="452"/>
    </row>
    <row r="44" spans="2:17">
      <c r="B44" s="255" t="s">
        <v>521</v>
      </c>
      <c r="C44" s="256">
        <v>15719</v>
      </c>
      <c r="D44" s="257">
        <v>3259</v>
      </c>
      <c r="E44" s="257">
        <v>2204</v>
      </c>
      <c r="F44" s="258">
        <v>162</v>
      </c>
      <c r="G44" s="257">
        <v>5040</v>
      </c>
      <c r="H44" s="257">
        <v>7093</v>
      </c>
      <c r="I44" s="257">
        <v>1145</v>
      </c>
      <c r="J44" s="257">
        <v>3138</v>
      </c>
      <c r="K44" s="258">
        <v>1186</v>
      </c>
      <c r="L44" s="259">
        <v>38946</v>
      </c>
    </row>
    <row r="45" spans="2:17">
      <c r="B45" s="260" t="s">
        <v>453</v>
      </c>
      <c r="C45" s="261">
        <v>1504</v>
      </c>
      <c r="D45" s="262">
        <v>446</v>
      </c>
      <c r="E45" s="262">
        <v>203</v>
      </c>
      <c r="F45" s="263">
        <v>28</v>
      </c>
      <c r="G45" s="263">
        <v>384</v>
      </c>
      <c r="H45" s="263">
        <v>751</v>
      </c>
      <c r="I45" s="262">
        <v>50</v>
      </c>
      <c r="J45" s="263">
        <v>142</v>
      </c>
      <c r="K45" s="263">
        <v>67</v>
      </c>
      <c r="L45" s="264">
        <v>3575</v>
      </c>
    </row>
    <row r="46" spans="2:17">
      <c r="B46" s="265"/>
      <c r="C46" s="266"/>
      <c r="D46" s="266"/>
      <c r="E46" s="266"/>
      <c r="F46" s="266"/>
      <c r="G46" s="266"/>
      <c r="H46" s="266"/>
      <c r="I46" s="266"/>
      <c r="J46" s="266"/>
      <c r="K46" s="266"/>
      <c r="L46" s="267"/>
    </row>
    <row r="47" spans="2:17">
      <c r="B47" s="439" t="s">
        <v>522</v>
      </c>
      <c r="C47" s="440"/>
      <c r="D47" s="440"/>
      <c r="E47" s="440"/>
      <c r="F47" s="440"/>
      <c r="G47" s="440"/>
      <c r="H47" s="440"/>
      <c r="I47" s="440"/>
      <c r="J47" s="440"/>
      <c r="K47" s="440"/>
      <c r="L47" s="270">
        <f>(F44+G44+I44+J44+K44)/D44</f>
        <v>3.2743172752378031</v>
      </c>
    </row>
    <row r="48" spans="2:17">
      <c r="B48" s="268" t="s">
        <v>529</v>
      </c>
      <c r="C48" s="269"/>
      <c r="D48" s="269"/>
      <c r="E48" s="269"/>
      <c r="F48" s="269"/>
      <c r="G48" s="269"/>
      <c r="H48" s="269"/>
      <c r="I48" s="269"/>
      <c r="J48" s="269"/>
      <c r="K48" s="269"/>
      <c r="L48" s="270">
        <f>(F45+G45+I45+J45+K45)/D45</f>
        <v>1.5044843049327354</v>
      </c>
    </row>
    <row r="49" spans="2:12">
      <c r="B49" s="441" t="s">
        <v>523</v>
      </c>
      <c r="C49" s="442"/>
      <c r="D49" s="442"/>
      <c r="E49" s="442"/>
      <c r="F49" s="442"/>
      <c r="G49" s="442"/>
      <c r="H49" s="442"/>
      <c r="I49" s="442"/>
      <c r="J49" s="442"/>
      <c r="K49" s="442"/>
    </row>
    <row r="50" spans="2:12">
      <c r="B50" s="266"/>
      <c r="C50" s="266"/>
      <c r="D50" s="266"/>
      <c r="E50" s="266"/>
      <c r="F50" s="266"/>
      <c r="G50" s="266"/>
      <c r="H50" s="266"/>
      <c r="I50" s="266"/>
      <c r="J50" s="266"/>
      <c r="K50" s="266"/>
      <c r="L50" s="266"/>
    </row>
  </sheetData>
  <mergeCells count="8">
    <mergeCell ref="B47:K47"/>
    <mergeCell ref="B49:K49"/>
    <mergeCell ref="B2:L2"/>
    <mergeCell ref="B13:L13"/>
    <mergeCell ref="C41:L41"/>
    <mergeCell ref="B42:B43"/>
    <mergeCell ref="C42:K42"/>
    <mergeCell ref="L42:L43"/>
  </mergeCells>
  <hyperlinks>
    <hyperlink ref="J24" r:id="rId1" display="https://www.ncdot.gov/bikeped/walkbikenc/pictures/EconomyImpact-Analysis.pdf" xr:uid="{28B37C25-16A7-4EB7-97FC-F5E21F140D9D}"/>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83E6-2371-4BEE-88D7-074E48A72956}">
  <dimension ref="A2:AK40"/>
  <sheetViews>
    <sheetView tabSelected="1" workbookViewId="0">
      <selection activeCell="C24" sqref="C24"/>
    </sheetView>
  </sheetViews>
  <sheetFormatPr defaultRowHeight="15"/>
  <cols>
    <col min="1" max="1" width="22.28515625" customWidth="1"/>
    <col min="2" max="4" width="58.42578125" bestFit="1" customWidth="1"/>
    <col min="5" max="5" width="15.28515625" customWidth="1"/>
    <col min="6" max="6" width="26.28515625" customWidth="1"/>
    <col min="7" max="7" width="17" customWidth="1"/>
  </cols>
  <sheetData>
    <row r="2" spans="1:37" ht="43.9" customHeight="1">
      <c r="A2" t="s">
        <v>587</v>
      </c>
      <c r="B2" s="299" t="s">
        <v>588</v>
      </c>
      <c r="C2" s="347" t="s">
        <v>829</v>
      </c>
      <c r="K2" s="178"/>
      <c r="L2" s="178"/>
      <c r="M2" s="177"/>
      <c r="N2" s="178"/>
      <c r="O2" s="178"/>
      <c r="P2" s="178"/>
      <c r="Q2" s="178"/>
      <c r="R2" s="177"/>
      <c r="S2" s="178"/>
      <c r="T2" s="178"/>
      <c r="U2" s="178"/>
      <c r="V2" s="178"/>
      <c r="W2" s="177"/>
      <c r="X2" s="178"/>
      <c r="Y2" s="178"/>
      <c r="Z2" s="178"/>
      <c r="AA2" s="178"/>
      <c r="AB2" s="177"/>
      <c r="AC2" s="178"/>
      <c r="AD2" s="178"/>
      <c r="AE2" s="178"/>
      <c r="AF2" s="178"/>
      <c r="AG2" s="177"/>
      <c r="AH2" s="178"/>
      <c r="AI2" s="178"/>
      <c r="AJ2" s="178"/>
      <c r="AK2" s="178"/>
    </row>
    <row r="3" spans="1:37">
      <c r="A3" t="s">
        <v>351</v>
      </c>
      <c r="B3" s="346">
        <v>3947</v>
      </c>
      <c r="C3" s="348">
        <v>2370</v>
      </c>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37" ht="31.15" customHeight="1">
      <c r="A4" t="s">
        <v>592</v>
      </c>
      <c r="B4" s="346">
        <v>3322</v>
      </c>
      <c r="C4" s="348">
        <v>2018</v>
      </c>
    </row>
    <row r="5" spans="1:37">
      <c r="A5" t="s">
        <v>593</v>
      </c>
      <c r="B5" s="346">
        <v>3000</v>
      </c>
      <c r="C5" s="348">
        <v>138</v>
      </c>
    </row>
    <row r="6" spans="1:37">
      <c r="A6" t="s">
        <v>595</v>
      </c>
      <c r="B6" s="299">
        <v>322</v>
      </c>
      <c r="C6" s="347">
        <v>180</v>
      </c>
    </row>
    <row r="7" spans="1:37">
      <c r="A7" t="s">
        <v>596</v>
      </c>
      <c r="B7" s="299">
        <v>227</v>
      </c>
      <c r="C7" s="347">
        <v>124</v>
      </c>
    </row>
    <row r="8" spans="1:37">
      <c r="A8" t="s">
        <v>597</v>
      </c>
      <c r="B8" s="299">
        <v>0</v>
      </c>
      <c r="C8" s="347">
        <v>43</v>
      </c>
    </row>
    <row r="9" spans="1:37">
      <c r="A9" t="s">
        <v>598</v>
      </c>
      <c r="B9" s="299">
        <v>95</v>
      </c>
      <c r="C9" s="347">
        <v>56</v>
      </c>
    </row>
    <row r="10" spans="1:37">
      <c r="A10" t="s">
        <v>600</v>
      </c>
      <c r="B10" s="299">
        <v>0</v>
      </c>
      <c r="C10" s="347">
        <v>0</v>
      </c>
    </row>
    <row r="11" spans="1:37">
      <c r="A11" t="s">
        <v>601</v>
      </c>
      <c r="B11" s="299">
        <v>0</v>
      </c>
      <c r="C11" s="347">
        <v>0</v>
      </c>
    </row>
    <row r="12" spans="1:37">
      <c r="A12" t="s">
        <v>602</v>
      </c>
      <c r="B12" s="299">
        <v>0</v>
      </c>
      <c r="C12" s="347">
        <v>31</v>
      </c>
    </row>
    <row r="13" spans="1:37">
      <c r="A13" t="s">
        <v>603</v>
      </c>
      <c r="B13" s="299">
        <v>0</v>
      </c>
      <c r="C13" s="347">
        <v>31</v>
      </c>
    </row>
    <row r="14" spans="1:37">
      <c r="A14" t="s">
        <v>604</v>
      </c>
      <c r="B14" s="299">
        <v>0</v>
      </c>
      <c r="C14" s="347">
        <v>0</v>
      </c>
    </row>
    <row r="15" spans="1:37">
      <c r="A15" t="s">
        <v>605</v>
      </c>
      <c r="B15" s="299">
        <v>0</v>
      </c>
      <c r="C15" s="347">
        <v>0</v>
      </c>
    </row>
    <row r="16" spans="1:37">
      <c r="A16" t="s">
        <v>606</v>
      </c>
      <c r="B16" s="299">
        <v>0</v>
      </c>
      <c r="C16" s="347">
        <v>0</v>
      </c>
    </row>
    <row r="17" spans="1:7">
      <c r="A17" t="s">
        <v>607</v>
      </c>
      <c r="B17" s="299">
        <v>0</v>
      </c>
      <c r="C17" s="347">
        <v>0</v>
      </c>
    </row>
    <row r="18" spans="1:7">
      <c r="A18" t="s">
        <v>608</v>
      </c>
      <c r="B18" s="299">
        <v>0</v>
      </c>
      <c r="C18" s="347">
        <v>0</v>
      </c>
    </row>
    <row r="19" spans="1:7">
      <c r="A19" t="s">
        <v>609</v>
      </c>
      <c r="B19" s="299">
        <v>0</v>
      </c>
      <c r="C19" s="347">
        <v>0</v>
      </c>
    </row>
    <row r="20" spans="1:7">
      <c r="A20" t="s">
        <v>610</v>
      </c>
      <c r="B20" s="299">
        <v>0</v>
      </c>
      <c r="C20" s="347">
        <v>0</v>
      </c>
    </row>
    <row r="21" spans="1:7">
      <c r="A21" t="s">
        <v>611</v>
      </c>
      <c r="B21" s="299">
        <v>92</v>
      </c>
      <c r="C21" s="347">
        <v>33</v>
      </c>
    </row>
    <row r="22" spans="1:7">
      <c r="A22" t="s">
        <v>612</v>
      </c>
      <c r="B22" s="299">
        <v>31</v>
      </c>
      <c r="C22" s="347">
        <v>10</v>
      </c>
    </row>
    <row r="23" spans="1:7">
      <c r="A23" t="s">
        <v>613</v>
      </c>
      <c r="B23" s="299">
        <v>502</v>
      </c>
      <c r="C23" s="347">
        <v>278</v>
      </c>
    </row>
    <row r="24" spans="1:7">
      <c r="A24" s="177"/>
      <c r="B24" s="176"/>
      <c r="C24" s="176"/>
      <c r="D24" s="176"/>
      <c r="E24" s="176"/>
      <c r="F24" s="176"/>
      <c r="G24" s="176"/>
    </row>
    <row r="31" spans="1:7">
      <c r="A31" s="224" t="s">
        <v>359</v>
      </c>
      <c r="B31" s="453" t="s">
        <v>352</v>
      </c>
      <c r="C31" s="453"/>
    </row>
    <row r="32" spans="1:7">
      <c r="A32" s="223" t="s">
        <v>360</v>
      </c>
      <c r="B32" s="453" t="s">
        <v>478</v>
      </c>
      <c r="C32" s="453"/>
    </row>
    <row r="33" spans="1:3">
      <c r="A33" s="223" t="s">
        <v>361</v>
      </c>
      <c r="B33" s="453" t="s">
        <v>362</v>
      </c>
      <c r="C33" s="453"/>
    </row>
    <row r="34" spans="1:3">
      <c r="A34" s="223" t="s">
        <v>363</v>
      </c>
      <c r="B34" s="453" t="s">
        <v>479</v>
      </c>
      <c r="C34" s="453"/>
    </row>
    <row r="35" spans="1:3">
      <c r="A35" s="223" t="s">
        <v>364</v>
      </c>
      <c r="B35" s="453" t="s">
        <v>365</v>
      </c>
      <c r="C35" s="453"/>
    </row>
    <row r="36" spans="1:3">
      <c r="A36" s="223" t="s">
        <v>366</v>
      </c>
      <c r="B36" s="453" t="s">
        <v>367</v>
      </c>
      <c r="C36" s="453"/>
    </row>
    <row r="37" spans="1:3">
      <c r="A37" s="223" t="s">
        <v>368</v>
      </c>
      <c r="B37" s="453" t="s">
        <v>480</v>
      </c>
      <c r="C37" s="453"/>
    </row>
    <row r="38" spans="1:3">
      <c r="A38" s="223" t="s">
        <v>369</v>
      </c>
      <c r="B38" s="453" t="s">
        <v>481</v>
      </c>
      <c r="C38" s="453"/>
    </row>
    <row r="39" spans="1:3">
      <c r="A39" s="223" t="s">
        <v>370</v>
      </c>
      <c r="B39" s="453" t="s">
        <v>371</v>
      </c>
      <c r="C39" s="453"/>
    </row>
    <row r="40" spans="1:3">
      <c r="A40" s="223" t="s">
        <v>372</v>
      </c>
      <c r="B40" s="453" t="s">
        <v>373</v>
      </c>
      <c r="C40" s="453"/>
    </row>
  </sheetData>
  <mergeCells count="10">
    <mergeCell ref="B31:C31"/>
    <mergeCell ref="B37:C37"/>
    <mergeCell ref="B38:C38"/>
    <mergeCell ref="B39:C39"/>
    <mergeCell ref="B40:C40"/>
    <mergeCell ref="B32:C32"/>
    <mergeCell ref="B33:C33"/>
    <mergeCell ref="B34:C34"/>
    <mergeCell ref="B35:C35"/>
    <mergeCell ref="B36:C3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E141-B798-4044-8E33-CAC339DC2245}">
  <dimension ref="A1:AJ105"/>
  <sheetViews>
    <sheetView topLeftCell="A74" workbookViewId="0">
      <selection activeCell="B105" sqref="B105"/>
    </sheetView>
  </sheetViews>
  <sheetFormatPr defaultRowHeight="15"/>
  <cols>
    <col min="1" max="1" width="60.7109375" bestFit="1" customWidth="1"/>
    <col min="2" max="2" width="23.42578125" customWidth="1"/>
    <col min="3" max="3" width="15" customWidth="1"/>
    <col min="5" max="5" width="13.42578125" customWidth="1"/>
    <col min="7" max="7" width="14.28515625" customWidth="1"/>
    <col min="8" max="8" width="12.42578125" customWidth="1"/>
    <col min="9" max="9" width="70.7109375" bestFit="1" customWidth="1"/>
    <col min="11" max="11" width="16.140625" customWidth="1"/>
    <col min="13" max="13" width="14.140625" customWidth="1"/>
    <col min="15" max="15" width="16.28515625" customWidth="1"/>
    <col min="17" max="17" width="15.85546875" customWidth="1"/>
    <col min="19" max="19" width="14.85546875" customWidth="1"/>
    <col min="21" max="21" width="15.28515625" customWidth="1"/>
    <col min="23" max="23" width="14.42578125" customWidth="1"/>
    <col min="25" max="25" width="16" customWidth="1"/>
    <col min="27" max="27" width="15.7109375" customWidth="1"/>
    <col min="29" max="29" width="15.42578125" customWidth="1"/>
    <col min="31" max="31" width="15.42578125" customWidth="1"/>
    <col min="33" max="33" width="14.5703125" customWidth="1"/>
    <col min="35" max="35" width="16.5703125" customWidth="1"/>
  </cols>
  <sheetData>
    <row r="1" spans="1:36" ht="39" customHeight="1">
      <c r="B1" s="454">
        <v>120.08</v>
      </c>
      <c r="C1" s="454"/>
      <c r="D1" s="454"/>
      <c r="E1" s="454"/>
      <c r="F1" s="455">
        <v>120.1</v>
      </c>
      <c r="G1" s="455"/>
      <c r="H1" s="455"/>
      <c r="I1" s="455"/>
      <c r="J1" s="5"/>
      <c r="K1" s="5"/>
      <c r="L1" s="5"/>
      <c r="M1" s="5"/>
      <c r="N1" s="5"/>
      <c r="O1" s="350"/>
      <c r="P1" s="350"/>
      <c r="Q1" s="350"/>
      <c r="R1" s="350"/>
      <c r="S1" s="350"/>
      <c r="T1" s="350"/>
      <c r="U1" s="350"/>
      <c r="V1" s="350"/>
      <c r="W1" s="350"/>
      <c r="X1" s="350"/>
      <c r="Y1" s="350"/>
      <c r="Z1" s="350"/>
      <c r="AA1" s="350"/>
      <c r="AB1" s="350"/>
      <c r="AC1" s="350"/>
      <c r="AD1" s="350"/>
      <c r="AE1" s="349"/>
      <c r="AF1" s="179"/>
      <c r="AG1" s="179"/>
      <c r="AH1" s="179"/>
      <c r="AI1" s="179"/>
      <c r="AJ1" s="179"/>
    </row>
    <row r="2" spans="1:36" ht="33" customHeight="1">
      <c r="B2" s="352" t="s">
        <v>588</v>
      </c>
      <c r="C2" s="352" t="s">
        <v>589</v>
      </c>
      <c r="D2" s="352" t="s">
        <v>615</v>
      </c>
      <c r="E2" s="352" t="s">
        <v>616</v>
      </c>
      <c r="F2" s="353" t="s">
        <v>590</v>
      </c>
      <c r="G2" s="353" t="s">
        <v>591</v>
      </c>
      <c r="H2" s="353" t="s">
        <v>617</v>
      </c>
      <c r="I2" s="353" t="s">
        <v>618</v>
      </c>
      <c r="J2" s="350"/>
      <c r="K2" s="350"/>
      <c r="L2" s="350"/>
      <c r="M2" s="350"/>
      <c r="N2" s="350"/>
      <c r="O2" s="350"/>
      <c r="P2" s="350"/>
      <c r="Q2" s="350"/>
      <c r="R2" s="350"/>
      <c r="S2" s="350"/>
      <c r="T2" s="350"/>
      <c r="U2" s="350"/>
      <c r="V2" s="350"/>
      <c r="W2" s="350"/>
      <c r="X2" s="350"/>
      <c r="Y2" s="350"/>
      <c r="Z2" s="350"/>
      <c r="AA2" s="350"/>
      <c r="AB2" s="350"/>
      <c r="AC2" s="350"/>
      <c r="AD2" s="350"/>
      <c r="AE2" s="349"/>
      <c r="AF2" s="179"/>
      <c r="AG2" s="179"/>
      <c r="AH2" s="179"/>
      <c r="AI2" s="179"/>
      <c r="AJ2" s="179"/>
    </row>
    <row r="3" spans="1:36" ht="46.9" customHeight="1">
      <c r="A3" t="s">
        <v>619</v>
      </c>
      <c r="B3" s="352"/>
      <c r="C3" s="352"/>
      <c r="D3" s="352"/>
      <c r="E3" s="352"/>
      <c r="F3" s="353"/>
      <c r="G3" s="353"/>
      <c r="H3" s="353"/>
      <c r="I3" s="353"/>
      <c r="J3" s="350"/>
      <c r="K3" s="350"/>
      <c r="L3" s="350"/>
      <c r="M3" s="350"/>
      <c r="N3" s="350"/>
      <c r="O3" s="350"/>
      <c r="P3" s="350"/>
      <c r="Q3" s="350"/>
      <c r="R3" s="350"/>
      <c r="S3" s="350"/>
      <c r="T3" s="350"/>
      <c r="U3" s="350"/>
      <c r="V3" s="350"/>
      <c r="W3" s="350"/>
      <c r="X3" s="350"/>
      <c r="Y3" s="350"/>
      <c r="Z3" s="350"/>
      <c r="AA3" s="350"/>
      <c r="AB3" s="350"/>
      <c r="AC3" s="350"/>
      <c r="AD3" s="350"/>
      <c r="AE3" s="349"/>
      <c r="AF3" s="179"/>
      <c r="AG3" s="179"/>
      <c r="AH3" s="179"/>
      <c r="AI3" s="179"/>
      <c r="AJ3" s="179"/>
    </row>
    <row r="4" spans="1:36">
      <c r="A4" t="s">
        <v>620</v>
      </c>
      <c r="B4" s="354">
        <v>6709</v>
      </c>
      <c r="C4" s="352" t="s">
        <v>621</v>
      </c>
      <c r="D4" s="354">
        <v>6709</v>
      </c>
      <c r="E4" s="352" t="s">
        <v>374</v>
      </c>
      <c r="F4" s="355">
        <v>5060</v>
      </c>
      <c r="G4" s="353" t="s">
        <v>622</v>
      </c>
      <c r="H4" s="355">
        <v>5060</v>
      </c>
      <c r="I4" s="353" t="s">
        <v>374</v>
      </c>
      <c r="J4" s="351"/>
      <c r="K4" s="351"/>
      <c r="L4" s="351"/>
      <c r="M4" s="351"/>
      <c r="N4" s="351"/>
      <c r="O4" s="351"/>
      <c r="P4" s="351"/>
      <c r="Q4" s="351"/>
      <c r="R4" s="351"/>
      <c r="S4" s="351"/>
      <c r="T4" s="351"/>
      <c r="U4" s="351"/>
      <c r="V4" s="351"/>
      <c r="W4" s="351"/>
      <c r="X4" s="351"/>
      <c r="Y4" s="351"/>
      <c r="Z4" s="351"/>
      <c r="AA4" s="351"/>
      <c r="AB4" s="351"/>
      <c r="AC4" s="351"/>
      <c r="AD4" s="351"/>
      <c r="AE4" s="180"/>
      <c r="AF4" s="180"/>
      <c r="AG4" s="180"/>
      <c r="AH4" s="180"/>
      <c r="AI4" s="180"/>
      <c r="AJ4" s="180"/>
    </row>
    <row r="5" spans="1:36">
      <c r="A5" t="s">
        <v>623</v>
      </c>
      <c r="B5" s="354">
        <v>3134</v>
      </c>
      <c r="C5" s="352" t="s">
        <v>624</v>
      </c>
      <c r="D5" s="356">
        <v>0.46700000000000003</v>
      </c>
      <c r="E5" s="352" t="s">
        <v>393</v>
      </c>
      <c r="F5" s="355">
        <v>2451</v>
      </c>
      <c r="G5" s="353" t="s">
        <v>625</v>
      </c>
      <c r="H5" s="357">
        <v>0.48399999999999999</v>
      </c>
      <c r="I5" s="353" t="s">
        <v>407</v>
      </c>
      <c r="J5" s="351"/>
      <c r="K5" s="351"/>
      <c r="L5" s="351"/>
      <c r="M5" s="351"/>
      <c r="N5" s="351"/>
      <c r="O5" s="351"/>
      <c r="P5" s="351"/>
      <c r="Q5" s="351"/>
      <c r="R5" s="351"/>
      <c r="S5" s="351"/>
      <c r="T5" s="351"/>
      <c r="U5" s="351"/>
      <c r="V5" s="351"/>
      <c r="W5" s="351"/>
      <c r="X5" s="351"/>
      <c r="Y5" s="351"/>
      <c r="Z5" s="351"/>
      <c r="AA5" s="351"/>
      <c r="AB5" s="351"/>
      <c r="AC5" s="351"/>
      <c r="AD5" s="351"/>
      <c r="AE5" s="180"/>
      <c r="AF5" s="180"/>
      <c r="AG5" s="180"/>
      <c r="AH5" s="180"/>
      <c r="AI5" s="180"/>
      <c r="AJ5" s="180"/>
    </row>
    <row r="6" spans="1:36">
      <c r="A6" t="s">
        <v>626</v>
      </c>
      <c r="B6" s="354">
        <v>3575</v>
      </c>
      <c r="C6" s="352" t="s">
        <v>627</v>
      </c>
      <c r="D6" s="356">
        <v>0.53300000000000003</v>
      </c>
      <c r="E6" s="352" t="s">
        <v>393</v>
      </c>
      <c r="F6" s="355">
        <v>2609</v>
      </c>
      <c r="G6" s="353" t="s">
        <v>440</v>
      </c>
      <c r="H6" s="357">
        <v>0.51600000000000001</v>
      </c>
      <c r="I6" s="353" t="s">
        <v>407</v>
      </c>
      <c r="J6" s="351"/>
      <c r="K6" s="351"/>
      <c r="L6" s="351"/>
      <c r="M6" s="351"/>
      <c r="N6" s="351"/>
      <c r="O6" s="351"/>
      <c r="P6" s="351"/>
      <c r="Q6" s="351"/>
      <c r="R6" s="351"/>
      <c r="S6" s="351"/>
      <c r="T6" s="351"/>
      <c r="U6" s="351"/>
      <c r="V6" s="351"/>
      <c r="W6" s="351"/>
      <c r="X6" s="351"/>
      <c r="Y6" s="351"/>
      <c r="Z6" s="351"/>
      <c r="AA6" s="351"/>
      <c r="AB6" s="351"/>
      <c r="AC6" s="351"/>
      <c r="AD6" s="351"/>
      <c r="AE6" s="180"/>
      <c r="AF6" s="180"/>
      <c r="AG6" s="180"/>
      <c r="AH6" s="180"/>
      <c r="AI6" s="180"/>
      <c r="AJ6" s="180"/>
    </row>
    <row r="7" spans="1:36">
      <c r="A7" t="s">
        <v>628</v>
      </c>
      <c r="B7" s="352">
        <v>87.7</v>
      </c>
      <c r="C7" s="352" t="s">
        <v>629</v>
      </c>
      <c r="D7" s="352" t="s">
        <v>374</v>
      </c>
      <c r="E7" s="352" t="s">
        <v>374</v>
      </c>
      <c r="F7" s="353">
        <v>93.9</v>
      </c>
      <c r="G7" s="353" t="s">
        <v>439</v>
      </c>
      <c r="H7" s="353" t="s">
        <v>374</v>
      </c>
      <c r="I7" s="353" t="s">
        <v>374</v>
      </c>
      <c r="J7" s="351"/>
      <c r="K7" s="351"/>
      <c r="L7" s="351"/>
      <c r="M7" s="351"/>
      <c r="N7" s="351"/>
      <c r="O7" s="351"/>
      <c r="P7" s="351"/>
      <c r="Q7" s="351"/>
      <c r="R7" s="351"/>
      <c r="S7" s="351"/>
      <c r="T7" s="351"/>
      <c r="U7" s="351"/>
      <c r="V7" s="351"/>
      <c r="W7" s="351"/>
      <c r="X7" s="351"/>
      <c r="Y7" s="351"/>
      <c r="Z7" s="351"/>
      <c r="AA7" s="351"/>
      <c r="AB7" s="351"/>
      <c r="AC7" s="351"/>
      <c r="AD7" s="351"/>
      <c r="AE7" s="180"/>
      <c r="AF7" s="180"/>
      <c r="AG7" s="180"/>
      <c r="AH7" s="180"/>
      <c r="AI7" s="180"/>
      <c r="AJ7" s="180"/>
    </row>
    <row r="8" spans="1:36">
      <c r="A8" t="s">
        <v>630</v>
      </c>
      <c r="B8" s="352">
        <v>206</v>
      </c>
      <c r="C8" s="352" t="s">
        <v>631</v>
      </c>
      <c r="D8" s="356">
        <v>3.1E-2</v>
      </c>
      <c r="E8" s="352" t="s">
        <v>404</v>
      </c>
      <c r="F8" s="353">
        <v>223</v>
      </c>
      <c r="G8" s="353" t="s">
        <v>632</v>
      </c>
      <c r="H8" s="357">
        <v>4.3999999999999997E-2</v>
      </c>
      <c r="I8" s="353" t="s">
        <v>392</v>
      </c>
      <c r="J8" s="351"/>
      <c r="K8" s="351"/>
      <c r="L8" s="351"/>
      <c r="M8" s="351"/>
      <c r="N8" s="351"/>
      <c r="O8" s="351"/>
      <c r="P8" s="351"/>
      <c r="Q8" s="351"/>
      <c r="R8" s="351"/>
      <c r="S8" s="351"/>
      <c r="T8" s="351"/>
      <c r="U8" s="351"/>
      <c r="V8" s="351"/>
      <c r="W8" s="351"/>
      <c r="X8" s="351"/>
      <c r="Y8" s="351"/>
      <c r="Z8" s="351"/>
      <c r="AA8" s="351"/>
      <c r="AB8" s="351"/>
      <c r="AC8" s="351"/>
      <c r="AD8" s="351"/>
      <c r="AE8" s="180"/>
      <c r="AF8" s="180"/>
      <c r="AG8" s="180"/>
      <c r="AH8" s="180"/>
      <c r="AI8" s="180"/>
      <c r="AJ8" s="180"/>
    </row>
    <row r="9" spans="1:36">
      <c r="A9" t="s">
        <v>633</v>
      </c>
      <c r="B9" s="352">
        <v>528</v>
      </c>
      <c r="C9" s="352" t="s">
        <v>419</v>
      </c>
      <c r="D9" s="356">
        <v>7.9000000000000001E-2</v>
      </c>
      <c r="E9" s="352" t="s">
        <v>378</v>
      </c>
      <c r="F9" s="353">
        <v>256</v>
      </c>
      <c r="G9" s="353" t="s">
        <v>355</v>
      </c>
      <c r="H9" s="357">
        <v>5.0999999999999997E-2</v>
      </c>
      <c r="I9" s="353" t="s">
        <v>394</v>
      </c>
      <c r="J9" s="351"/>
      <c r="K9" s="351"/>
      <c r="L9" s="351"/>
      <c r="M9" s="351"/>
      <c r="N9" s="351"/>
      <c r="O9" s="351"/>
      <c r="P9" s="351"/>
      <c r="Q9" s="351"/>
      <c r="R9" s="351"/>
      <c r="S9" s="351"/>
      <c r="T9" s="351"/>
      <c r="U9" s="351"/>
      <c r="V9" s="351"/>
      <c r="W9" s="351"/>
      <c r="X9" s="351"/>
      <c r="Y9" s="351"/>
      <c r="Z9" s="351"/>
      <c r="AA9" s="351"/>
      <c r="AB9" s="351"/>
      <c r="AC9" s="351"/>
      <c r="AD9" s="351"/>
      <c r="AE9" s="180"/>
      <c r="AF9" s="180"/>
      <c r="AG9" s="180"/>
      <c r="AH9" s="180"/>
      <c r="AI9" s="180"/>
      <c r="AJ9" s="180"/>
    </row>
    <row r="10" spans="1:36">
      <c r="A10" t="s">
        <v>634</v>
      </c>
      <c r="B10" s="352">
        <v>245</v>
      </c>
      <c r="C10" s="352" t="s">
        <v>442</v>
      </c>
      <c r="D10" s="356">
        <v>3.6999999999999998E-2</v>
      </c>
      <c r="E10" s="352" t="s">
        <v>403</v>
      </c>
      <c r="F10" s="353">
        <v>307</v>
      </c>
      <c r="G10" s="353" t="s">
        <v>417</v>
      </c>
      <c r="H10" s="357">
        <v>6.0999999999999999E-2</v>
      </c>
      <c r="I10" s="353" t="s">
        <v>403</v>
      </c>
      <c r="J10" s="351"/>
      <c r="K10" s="351"/>
      <c r="L10" s="351"/>
      <c r="M10" s="351"/>
      <c r="N10" s="351"/>
      <c r="O10" s="351"/>
      <c r="P10" s="351"/>
      <c r="Q10" s="351"/>
      <c r="R10" s="351"/>
      <c r="S10" s="351"/>
      <c r="T10" s="351"/>
      <c r="U10" s="351"/>
      <c r="V10" s="351"/>
      <c r="W10" s="351"/>
      <c r="X10" s="351"/>
      <c r="Y10" s="351"/>
      <c r="Z10" s="351"/>
      <c r="AA10" s="351"/>
      <c r="AB10" s="351"/>
      <c r="AC10" s="351"/>
      <c r="AD10" s="351"/>
      <c r="AE10" s="180"/>
      <c r="AF10" s="180"/>
      <c r="AG10" s="180"/>
      <c r="AH10" s="180"/>
      <c r="AI10" s="180"/>
      <c r="AJ10" s="180"/>
    </row>
    <row r="11" spans="1:36">
      <c r="A11" t="s">
        <v>635</v>
      </c>
      <c r="B11" s="352">
        <v>276</v>
      </c>
      <c r="C11" s="352" t="s">
        <v>636</v>
      </c>
      <c r="D11" s="356">
        <v>4.1000000000000002E-2</v>
      </c>
      <c r="E11" s="352" t="s">
        <v>430</v>
      </c>
      <c r="F11" s="353">
        <v>413</v>
      </c>
      <c r="G11" s="353" t="s">
        <v>376</v>
      </c>
      <c r="H11" s="357">
        <v>8.2000000000000003E-2</v>
      </c>
      <c r="I11" s="353" t="s">
        <v>421</v>
      </c>
      <c r="J11" s="351"/>
      <c r="K11" s="351"/>
      <c r="L11" s="351"/>
      <c r="M11" s="351"/>
      <c r="N11" s="351"/>
      <c r="O11" s="351"/>
      <c r="P11" s="351"/>
      <c r="Q11" s="351"/>
      <c r="R11" s="351"/>
      <c r="S11" s="351"/>
      <c r="T11" s="351"/>
      <c r="U11" s="351"/>
      <c r="V11" s="351"/>
      <c r="W11" s="351"/>
      <c r="X11" s="351"/>
      <c r="Y11" s="351"/>
      <c r="Z11" s="351"/>
      <c r="AA11" s="351"/>
      <c r="AB11" s="351"/>
      <c r="AC11" s="351"/>
      <c r="AD11" s="351"/>
      <c r="AE11" s="180"/>
      <c r="AF11" s="180"/>
      <c r="AG11" s="180"/>
      <c r="AH11" s="180"/>
      <c r="AI11" s="180"/>
      <c r="AJ11" s="180"/>
    </row>
    <row r="12" spans="1:36">
      <c r="A12" t="s">
        <v>637</v>
      </c>
      <c r="B12" s="352">
        <v>873</v>
      </c>
      <c r="C12" s="352" t="s">
        <v>638</v>
      </c>
      <c r="D12" s="356">
        <v>0.13</v>
      </c>
      <c r="E12" s="352" t="s">
        <v>400</v>
      </c>
      <c r="F12" s="353">
        <v>199</v>
      </c>
      <c r="G12" s="353" t="s">
        <v>639</v>
      </c>
      <c r="H12" s="357">
        <v>3.9E-2</v>
      </c>
      <c r="I12" s="353" t="s">
        <v>387</v>
      </c>
      <c r="J12" s="351"/>
      <c r="K12" s="351"/>
      <c r="L12" s="351"/>
      <c r="M12" s="351"/>
      <c r="N12" s="351"/>
      <c r="O12" s="351"/>
      <c r="P12" s="351"/>
      <c r="Q12" s="351"/>
      <c r="R12" s="351"/>
      <c r="S12" s="351"/>
      <c r="T12" s="351"/>
      <c r="U12" s="351"/>
      <c r="V12" s="351"/>
      <c r="W12" s="351"/>
      <c r="X12" s="351"/>
      <c r="Y12" s="351"/>
      <c r="Z12" s="351"/>
      <c r="AA12" s="351"/>
      <c r="AB12" s="351"/>
      <c r="AC12" s="351"/>
      <c r="AD12" s="351"/>
      <c r="AE12" s="180"/>
      <c r="AF12" s="180"/>
      <c r="AG12" s="180"/>
      <c r="AH12" s="180"/>
      <c r="AI12" s="180"/>
      <c r="AJ12" s="180"/>
    </row>
    <row r="13" spans="1:36">
      <c r="A13" t="s">
        <v>640</v>
      </c>
      <c r="B13" s="354">
        <v>1422</v>
      </c>
      <c r="C13" s="352" t="s">
        <v>641</v>
      </c>
      <c r="D13" s="356">
        <v>0.21199999999999999</v>
      </c>
      <c r="E13" s="352" t="s">
        <v>389</v>
      </c>
      <c r="F13" s="353">
        <v>498</v>
      </c>
      <c r="G13" s="353" t="s">
        <v>642</v>
      </c>
      <c r="H13" s="357">
        <v>9.8000000000000004E-2</v>
      </c>
      <c r="I13" s="353" t="s">
        <v>406</v>
      </c>
      <c r="J13" s="351"/>
      <c r="K13" s="351"/>
      <c r="L13" s="351"/>
      <c r="M13" s="351"/>
      <c r="N13" s="351"/>
      <c r="O13" s="351"/>
      <c r="P13" s="351"/>
      <c r="Q13" s="351"/>
      <c r="R13" s="351"/>
      <c r="S13" s="351"/>
      <c r="T13" s="351"/>
      <c r="U13" s="351"/>
      <c r="V13" s="351"/>
      <c r="W13" s="351"/>
      <c r="X13" s="351"/>
      <c r="Y13" s="351"/>
      <c r="Z13" s="351"/>
      <c r="AA13" s="351"/>
      <c r="AB13" s="351"/>
      <c r="AC13" s="351"/>
      <c r="AD13" s="351"/>
      <c r="AE13" s="180"/>
      <c r="AF13" s="180"/>
      <c r="AG13" s="180"/>
      <c r="AH13" s="180"/>
      <c r="AI13" s="180"/>
      <c r="AJ13" s="180"/>
    </row>
    <row r="14" spans="1:36">
      <c r="A14" t="s">
        <v>643</v>
      </c>
      <c r="B14" s="352">
        <v>699</v>
      </c>
      <c r="C14" s="352" t="s">
        <v>644</v>
      </c>
      <c r="D14" s="356">
        <v>0.104</v>
      </c>
      <c r="E14" s="352" t="s">
        <v>390</v>
      </c>
      <c r="F14" s="353">
        <v>660</v>
      </c>
      <c r="G14" s="353" t="s">
        <v>645</v>
      </c>
      <c r="H14" s="357">
        <v>0.13</v>
      </c>
      <c r="I14" s="353" t="s">
        <v>397</v>
      </c>
      <c r="J14" s="351"/>
      <c r="K14" s="351"/>
      <c r="L14" s="351"/>
      <c r="M14" s="351"/>
      <c r="N14" s="351"/>
      <c r="O14" s="351"/>
      <c r="P14" s="351"/>
      <c r="Q14" s="351"/>
      <c r="R14" s="351"/>
      <c r="S14" s="351"/>
      <c r="T14" s="351"/>
      <c r="U14" s="351"/>
      <c r="V14" s="351"/>
      <c r="W14" s="351"/>
      <c r="X14" s="351"/>
      <c r="Y14" s="351"/>
      <c r="Z14" s="351"/>
      <c r="AA14" s="351"/>
      <c r="AB14" s="351"/>
      <c r="AC14" s="351"/>
      <c r="AD14" s="351"/>
      <c r="AE14" s="180"/>
      <c r="AF14" s="180"/>
      <c r="AG14" s="180"/>
      <c r="AH14" s="180"/>
      <c r="AI14" s="180"/>
      <c r="AJ14" s="180"/>
    </row>
    <row r="15" spans="1:36">
      <c r="A15" t="s">
        <v>646</v>
      </c>
      <c r="B15" s="352">
        <v>831</v>
      </c>
      <c r="C15" s="352" t="s">
        <v>647</v>
      </c>
      <c r="D15" s="356">
        <v>0.124</v>
      </c>
      <c r="E15" s="352" t="s">
        <v>386</v>
      </c>
      <c r="F15" s="353">
        <v>924</v>
      </c>
      <c r="G15" s="353" t="s">
        <v>440</v>
      </c>
      <c r="H15" s="357">
        <v>0.183</v>
      </c>
      <c r="I15" s="353" t="s">
        <v>397</v>
      </c>
      <c r="J15" s="351"/>
      <c r="K15" s="351"/>
      <c r="L15" s="351"/>
      <c r="M15" s="351"/>
      <c r="N15" s="351"/>
      <c r="O15" s="351"/>
      <c r="P15" s="351"/>
      <c r="Q15" s="351"/>
      <c r="R15" s="351"/>
      <c r="S15" s="351"/>
      <c r="T15" s="351"/>
      <c r="U15" s="351"/>
      <c r="V15" s="351"/>
      <c r="W15" s="351"/>
      <c r="X15" s="351"/>
      <c r="Y15" s="351"/>
      <c r="Z15" s="351"/>
      <c r="AA15" s="351"/>
      <c r="AB15" s="351"/>
      <c r="AC15" s="351"/>
      <c r="AD15" s="351"/>
      <c r="AE15" s="180"/>
      <c r="AF15" s="180"/>
      <c r="AG15" s="180"/>
      <c r="AH15" s="180"/>
      <c r="AI15" s="180"/>
      <c r="AJ15" s="180"/>
    </row>
    <row r="16" spans="1:36">
      <c r="A16" t="s">
        <v>648</v>
      </c>
      <c r="B16" s="352">
        <v>242</v>
      </c>
      <c r="C16" s="352" t="s">
        <v>444</v>
      </c>
      <c r="D16" s="356">
        <v>3.5999999999999997E-2</v>
      </c>
      <c r="E16" s="352" t="s">
        <v>432</v>
      </c>
      <c r="F16" s="353">
        <v>241</v>
      </c>
      <c r="G16" s="353" t="s">
        <v>354</v>
      </c>
      <c r="H16" s="357">
        <v>4.8000000000000001E-2</v>
      </c>
      <c r="I16" s="353" t="s">
        <v>413</v>
      </c>
      <c r="J16" s="351"/>
      <c r="K16" s="351"/>
      <c r="L16" s="351"/>
      <c r="M16" s="351"/>
      <c r="N16" s="351"/>
      <c r="O16" s="351"/>
      <c r="P16" s="351"/>
      <c r="Q16" s="351"/>
      <c r="R16" s="351"/>
      <c r="S16" s="351"/>
      <c r="T16" s="351"/>
      <c r="U16" s="351"/>
      <c r="V16" s="351"/>
      <c r="W16" s="351"/>
      <c r="X16" s="351"/>
      <c r="Y16" s="351"/>
      <c r="Z16" s="351"/>
      <c r="AA16" s="351"/>
      <c r="AB16" s="351"/>
      <c r="AC16" s="351"/>
      <c r="AD16" s="351"/>
      <c r="AE16" s="180"/>
      <c r="AF16" s="180"/>
      <c r="AG16" s="180"/>
      <c r="AH16" s="180"/>
      <c r="AI16" s="180"/>
      <c r="AJ16" s="180"/>
    </row>
    <row r="17" spans="1:36">
      <c r="A17" t="s">
        <v>649</v>
      </c>
      <c r="B17" s="352">
        <v>214</v>
      </c>
      <c r="C17" s="352" t="s">
        <v>409</v>
      </c>
      <c r="D17" s="356">
        <v>3.2000000000000001E-2</v>
      </c>
      <c r="E17" s="352" t="s">
        <v>432</v>
      </c>
      <c r="F17" s="353">
        <v>519</v>
      </c>
      <c r="G17" s="353" t="s">
        <v>645</v>
      </c>
      <c r="H17" s="357">
        <v>0.10299999999999999</v>
      </c>
      <c r="I17" s="353" t="s">
        <v>426</v>
      </c>
      <c r="J17" s="351"/>
      <c r="K17" s="351"/>
      <c r="L17" s="351"/>
      <c r="M17" s="351"/>
      <c r="N17" s="351"/>
      <c r="O17" s="351"/>
      <c r="P17" s="351"/>
      <c r="Q17" s="351"/>
      <c r="R17" s="351"/>
      <c r="S17" s="351"/>
      <c r="T17" s="351"/>
      <c r="U17" s="351"/>
      <c r="V17" s="351"/>
      <c r="W17" s="351"/>
      <c r="X17" s="351"/>
      <c r="Y17" s="351"/>
      <c r="Z17" s="351"/>
      <c r="AA17" s="351"/>
      <c r="AB17" s="351"/>
      <c r="AC17" s="351"/>
      <c r="AD17" s="351"/>
      <c r="AE17" s="180"/>
      <c r="AF17" s="180"/>
      <c r="AG17" s="180"/>
      <c r="AH17" s="180"/>
      <c r="AI17" s="180"/>
      <c r="AJ17" s="180"/>
    </row>
    <row r="18" spans="1:36">
      <c r="A18" t="s">
        <v>650</v>
      </c>
      <c r="B18" s="352">
        <v>675</v>
      </c>
      <c r="C18" s="352" t="s">
        <v>642</v>
      </c>
      <c r="D18" s="356">
        <v>0.10100000000000001</v>
      </c>
      <c r="E18" s="352" t="s">
        <v>390</v>
      </c>
      <c r="F18" s="353">
        <v>526</v>
      </c>
      <c r="G18" s="353" t="s">
        <v>395</v>
      </c>
      <c r="H18" s="357">
        <v>0.104</v>
      </c>
      <c r="I18" s="353" t="s">
        <v>394</v>
      </c>
      <c r="J18" s="351"/>
      <c r="K18" s="351"/>
      <c r="L18" s="351"/>
      <c r="M18" s="351"/>
      <c r="N18" s="351"/>
      <c r="O18" s="351"/>
      <c r="P18" s="351"/>
      <c r="Q18" s="351"/>
      <c r="R18" s="351"/>
      <c r="S18" s="351"/>
      <c r="T18" s="351"/>
      <c r="U18" s="351"/>
      <c r="V18" s="351"/>
      <c r="W18" s="351"/>
      <c r="X18" s="351"/>
      <c r="Y18" s="351"/>
      <c r="Z18" s="351"/>
      <c r="AA18" s="351"/>
      <c r="AB18" s="351"/>
      <c r="AC18" s="351"/>
      <c r="AD18" s="351"/>
      <c r="AE18" s="180"/>
      <c r="AF18" s="180"/>
      <c r="AG18" s="180"/>
      <c r="AH18" s="180"/>
      <c r="AI18" s="180"/>
      <c r="AJ18" s="180"/>
    </row>
    <row r="19" spans="1:36">
      <c r="A19" t="s">
        <v>651</v>
      </c>
      <c r="B19" s="352">
        <v>371</v>
      </c>
      <c r="C19" s="352" t="s">
        <v>652</v>
      </c>
      <c r="D19" s="356">
        <v>5.5E-2</v>
      </c>
      <c r="E19" s="352" t="s">
        <v>413</v>
      </c>
      <c r="F19" s="353">
        <v>259</v>
      </c>
      <c r="G19" s="353" t="s">
        <v>653</v>
      </c>
      <c r="H19" s="357">
        <v>5.0999999999999997E-2</v>
      </c>
      <c r="I19" s="353" t="s">
        <v>412</v>
      </c>
      <c r="J19" s="351"/>
      <c r="K19" s="351"/>
      <c r="L19" s="351"/>
      <c r="M19" s="351"/>
      <c r="N19" s="351"/>
      <c r="O19" s="351"/>
      <c r="P19" s="351"/>
      <c r="Q19" s="351"/>
      <c r="R19" s="351"/>
      <c r="S19" s="351"/>
      <c r="T19" s="351"/>
      <c r="U19" s="351"/>
      <c r="V19" s="351"/>
      <c r="W19" s="351"/>
      <c r="X19" s="351"/>
      <c r="Y19" s="351"/>
      <c r="Z19" s="351"/>
      <c r="AA19" s="351"/>
      <c r="AB19" s="351"/>
      <c r="AC19" s="351"/>
      <c r="AD19" s="351"/>
      <c r="AE19" s="180"/>
      <c r="AF19" s="180"/>
      <c r="AG19" s="180"/>
      <c r="AH19" s="180"/>
      <c r="AI19" s="180"/>
      <c r="AJ19" s="180"/>
    </row>
    <row r="20" spans="1:36">
      <c r="A20" t="s">
        <v>654</v>
      </c>
      <c r="B20" s="352">
        <v>127</v>
      </c>
      <c r="C20" s="352" t="s">
        <v>655</v>
      </c>
      <c r="D20" s="356">
        <v>1.9E-2</v>
      </c>
      <c r="E20" s="352" t="s">
        <v>656</v>
      </c>
      <c r="F20" s="353">
        <v>35</v>
      </c>
      <c r="G20" s="353" t="s">
        <v>379</v>
      </c>
      <c r="H20" s="357">
        <v>7.0000000000000001E-3</v>
      </c>
      <c r="I20" s="353" t="s">
        <v>657</v>
      </c>
      <c r="J20" s="351"/>
      <c r="K20" s="351"/>
      <c r="L20" s="351"/>
      <c r="M20" s="351"/>
      <c r="N20" s="351"/>
      <c r="O20" s="351"/>
      <c r="P20" s="351"/>
      <c r="Q20" s="351"/>
      <c r="R20" s="351"/>
      <c r="S20" s="351"/>
      <c r="T20" s="351"/>
      <c r="U20" s="351"/>
      <c r="V20" s="351"/>
      <c r="W20" s="351"/>
      <c r="X20" s="351"/>
      <c r="Y20" s="351"/>
      <c r="Z20" s="351"/>
      <c r="AA20" s="351"/>
      <c r="AB20" s="351"/>
      <c r="AC20" s="351"/>
      <c r="AD20" s="351"/>
      <c r="AE20" s="180"/>
      <c r="AF20" s="180"/>
      <c r="AG20" s="180"/>
      <c r="AH20" s="180"/>
      <c r="AI20" s="180"/>
      <c r="AJ20" s="180"/>
    </row>
    <row r="21" spans="1:36">
      <c r="A21" t="s">
        <v>658</v>
      </c>
      <c r="B21" s="352">
        <v>33.1</v>
      </c>
      <c r="C21" s="352" t="s">
        <v>375</v>
      </c>
      <c r="D21" s="352" t="s">
        <v>374</v>
      </c>
      <c r="E21" s="352" t="s">
        <v>374</v>
      </c>
      <c r="F21" s="353">
        <v>44</v>
      </c>
      <c r="G21" s="353" t="s">
        <v>446</v>
      </c>
      <c r="H21" s="353" t="s">
        <v>374</v>
      </c>
      <c r="I21" s="353" t="s">
        <v>374</v>
      </c>
      <c r="J21" s="351"/>
      <c r="K21" s="351"/>
      <c r="L21" s="351"/>
      <c r="M21" s="351"/>
      <c r="N21" s="351"/>
      <c r="O21" s="351"/>
      <c r="P21" s="351"/>
      <c r="Q21" s="351"/>
      <c r="R21" s="351"/>
      <c r="S21" s="351"/>
      <c r="T21" s="351"/>
      <c r="U21" s="351"/>
      <c r="V21" s="351"/>
      <c r="W21" s="351"/>
      <c r="X21" s="351"/>
      <c r="Y21" s="351"/>
      <c r="Z21" s="351"/>
      <c r="AA21" s="351"/>
      <c r="AB21" s="351"/>
      <c r="AC21" s="351"/>
      <c r="AD21" s="351"/>
      <c r="AE21" s="180"/>
      <c r="AF21" s="180"/>
      <c r="AG21" s="180"/>
      <c r="AH21" s="180"/>
      <c r="AI21" s="180"/>
      <c r="AJ21" s="180"/>
    </row>
    <row r="22" spans="1:36">
      <c r="A22" t="s">
        <v>659</v>
      </c>
      <c r="B22" s="354">
        <v>1126</v>
      </c>
      <c r="C22" s="352" t="s">
        <v>476</v>
      </c>
      <c r="D22" s="356">
        <v>0.16800000000000001</v>
      </c>
      <c r="E22" s="352" t="s">
        <v>416</v>
      </c>
      <c r="F22" s="355">
        <v>1008</v>
      </c>
      <c r="G22" s="353" t="s">
        <v>599</v>
      </c>
      <c r="H22" s="357">
        <v>0.19900000000000001</v>
      </c>
      <c r="I22" s="353" t="s">
        <v>398</v>
      </c>
      <c r="J22" s="351"/>
      <c r="K22" s="351"/>
      <c r="L22" s="351"/>
      <c r="M22" s="351"/>
      <c r="N22" s="351"/>
      <c r="O22" s="351"/>
      <c r="P22" s="351"/>
      <c r="Q22" s="351"/>
      <c r="R22" s="351"/>
      <c r="S22" s="351"/>
      <c r="T22" s="351"/>
      <c r="U22" s="351"/>
      <c r="V22" s="351"/>
      <c r="W22" s="351"/>
      <c r="X22" s="351"/>
      <c r="Y22" s="351"/>
      <c r="Z22" s="351"/>
      <c r="AA22" s="351"/>
      <c r="AB22" s="351"/>
      <c r="AC22" s="351"/>
      <c r="AD22" s="351"/>
      <c r="AE22" s="180"/>
      <c r="AF22" s="180"/>
      <c r="AG22" s="180"/>
      <c r="AH22" s="180"/>
      <c r="AI22" s="180"/>
      <c r="AJ22" s="180"/>
    </row>
    <row r="23" spans="1:36">
      <c r="A23" t="s">
        <v>660</v>
      </c>
      <c r="B23" s="354">
        <v>5712</v>
      </c>
      <c r="C23" s="352" t="s">
        <v>661</v>
      </c>
      <c r="D23" s="356">
        <v>0.85099999999999998</v>
      </c>
      <c r="E23" s="352" t="s">
        <v>378</v>
      </c>
      <c r="F23" s="355">
        <v>4227</v>
      </c>
      <c r="G23" s="353" t="s">
        <v>662</v>
      </c>
      <c r="H23" s="357">
        <v>0.83499999999999996</v>
      </c>
      <c r="I23" s="353" t="s">
        <v>377</v>
      </c>
      <c r="J23" s="351"/>
      <c r="K23" s="351"/>
      <c r="L23" s="351"/>
      <c r="M23" s="351"/>
      <c r="N23" s="351"/>
      <c r="O23" s="351"/>
      <c r="P23" s="351"/>
      <c r="Q23" s="351"/>
      <c r="R23" s="351"/>
      <c r="S23" s="351"/>
      <c r="T23" s="351"/>
      <c r="U23" s="351"/>
      <c r="V23" s="351"/>
      <c r="W23" s="351"/>
      <c r="X23" s="351"/>
      <c r="Y23" s="351"/>
      <c r="Z23" s="351"/>
      <c r="AA23" s="351"/>
      <c r="AB23" s="351"/>
      <c r="AC23" s="351"/>
      <c r="AD23" s="351"/>
      <c r="AE23" s="180"/>
      <c r="AF23" s="180"/>
      <c r="AG23" s="180"/>
      <c r="AH23" s="180"/>
      <c r="AI23" s="180"/>
      <c r="AJ23" s="180"/>
    </row>
    <row r="24" spans="1:36">
      <c r="A24" t="s">
        <v>663</v>
      </c>
      <c r="B24" s="354">
        <v>5583</v>
      </c>
      <c r="C24" s="352" t="s">
        <v>664</v>
      </c>
      <c r="D24" s="356">
        <v>0.83199999999999996</v>
      </c>
      <c r="E24" s="352" t="s">
        <v>416</v>
      </c>
      <c r="F24" s="355">
        <v>4052</v>
      </c>
      <c r="G24" s="353" t="s">
        <v>665</v>
      </c>
      <c r="H24" s="357">
        <v>0.80100000000000005</v>
      </c>
      <c r="I24" s="353" t="s">
        <v>398</v>
      </c>
      <c r="J24" s="351"/>
      <c r="K24" s="351"/>
      <c r="L24" s="351"/>
      <c r="M24" s="351"/>
      <c r="N24" s="351"/>
      <c r="O24" s="351"/>
      <c r="P24" s="351"/>
      <c r="Q24" s="351"/>
      <c r="R24" s="351"/>
      <c r="S24" s="351"/>
      <c r="T24" s="351"/>
      <c r="U24" s="351"/>
      <c r="V24" s="351"/>
      <c r="W24" s="351"/>
      <c r="X24" s="351"/>
      <c r="Y24" s="351"/>
      <c r="Z24" s="351"/>
      <c r="AA24" s="351"/>
      <c r="AB24" s="351"/>
      <c r="AC24" s="351"/>
      <c r="AD24" s="351"/>
      <c r="AE24" s="180"/>
      <c r="AF24" s="180"/>
      <c r="AG24" s="180"/>
      <c r="AH24" s="180"/>
      <c r="AI24" s="180"/>
      <c r="AJ24" s="180"/>
    </row>
    <row r="25" spans="1:36">
      <c r="A25" t="s">
        <v>666</v>
      </c>
      <c r="B25" s="354">
        <v>5304</v>
      </c>
      <c r="C25" s="352" t="s">
        <v>667</v>
      </c>
      <c r="D25" s="356">
        <v>0.79100000000000004</v>
      </c>
      <c r="E25" s="352" t="s">
        <v>399</v>
      </c>
      <c r="F25" s="355">
        <v>3819</v>
      </c>
      <c r="G25" s="353" t="s">
        <v>594</v>
      </c>
      <c r="H25" s="357">
        <v>0.755</v>
      </c>
      <c r="I25" s="353" t="s">
        <v>388</v>
      </c>
      <c r="J25" s="351"/>
      <c r="K25" s="351"/>
      <c r="L25" s="351"/>
      <c r="M25" s="351"/>
      <c r="N25" s="351"/>
      <c r="O25" s="351"/>
      <c r="P25" s="351"/>
      <c r="Q25" s="351"/>
      <c r="R25" s="351"/>
      <c r="S25" s="351"/>
      <c r="T25" s="351"/>
      <c r="U25" s="351"/>
      <c r="V25" s="351"/>
      <c r="W25" s="351"/>
      <c r="X25" s="351"/>
      <c r="Y25" s="351"/>
      <c r="Z25" s="351"/>
      <c r="AA25" s="351"/>
      <c r="AB25" s="351"/>
      <c r="AC25" s="351"/>
      <c r="AD25" s="351"/>
      <c r="AE25" s="180"/>
      <c r="AF25" s="180"/>
      <c r="AG25" s="180"/>
      <c r="AH25" s="180"/>
      <c r="AI25" s="180"/>
      <c r="AJ25" s="180"/>
    </row>
    <row r="26" spans="1:36">
      <c r="A26" t="s">
        <v>668</v>
      </c>
      <c r="B26" s="354">
        <v>1278</v>
      </c>
      <c r="C26" s="352" t="s">
        <v>669</v>
      </c>
      <c r="D26" s="356">
        <v>0.19</v>
      </c>
      <c r="E26" s="352" t="s">
        <v>382</v>
      </c>
      <c r="F26" s="355">
        <v>1211</v>
      </c>
      <c r="G26" s="353" t="s">
        <v>670</v>
      </c>
      <c r="H26" s="357">
        <v>0.23899999999999999</v>
      </c>
      <c r="I26" s="353" t="s">
        <v>426</v>
      </c>
      <c r="J26" s="351"/>
      <c r="K26" s="351"/>
      <c r="L26" s="351"/>
      <c r="M26" s="351"/>
      <c r="N26" s="351"/>
      <c r="O26" s="351"/>
      <c r="P26" s="351"/>
      <c r="Q26" s="351"/>
      <c r="R26" s="351"/>
      <c r="S26" s="351"/>
      <c r="T26" s="351"/>
      <c r="U26" s="351"/>
      <c r="V26" s="351"/>
      <c r="W26" s="351"/>
      <c r="X26" s="351"/>
      <c r="Y26" s="351"/>
      <c r="Z26" s="351"/>
      <c r="AA26" s="351"/>
      <c r="AB26" s="351"/>
      <c r="AC26" s="351"/>
      <c r="AD26" s="351"/>
      <c r="AE26" s="180"/>
      <c r="AF26" s="180"/>
      <c r="AG26" s="180"/>
      <c r="AH26" s="180"/>
      <c r="AI26" s="180"/>
      <c r="AJ26" s="180"/>
    </row>
    <row r="27" spans="1:36">
      <c r="A27" t="s">
        <v>671</v>
      </c>
      <c r="B27" s="354">
        <v>1173</v>
      </c>
      <c r="C27" s="352" t="s">
        <v>672</v>
      </c>
      <c r="D27" s="356">
        <v>0.17499999999999999</v>
      </c>
      <c r="E27" s="352" t="s">
        <v>375</v>
      </c>
      <c r="F27" s="353">
        <v>820</v>
      </c>
      <c r="G27" s="353" t="s">
        <v>381</v>
      </c>
      <c r="H27" s="357">
        <v>0.16200000000000001</v>
      </c>
      <c r="I27" s="353" t="s">
        <v>392</v>
      </c>
      <c r="J27" s="351"/>
      <c r="K27" s="351"/>
      <c r="L27" s="351"/>
      <c r="M27" s="351"/>
      <c r="N27" s="351"/>
      <c r="O27" s="351"/>
      <c r="P27" s="351"/>
      <c r="Q27" s="351"/>
      <c r="R27" s="351"/>
      <c r="S27" s="351"/>
      <c r="T27" s="351"/>
      <c r="U27" s="351"/>
      <c r="V27" s="351"/>
      <c r="W27" s="351"/>
      <c r="X27" s="351"/>
      <c r="Y27" s="351"/>
      <c r="Z27" s="351"/>
      <c r="AA27" s="351"/>
      <c r="AB27" s="351"/>
      <c r="AC27" s="351"/>
      <c r="AD27" s="351"/>
      <c r="AE27" s="180"/>
      <c r="AF27" s="180"/>
      <c r="AG27" s="180"/>
      <c r="AH27" s="180"/>
      <c r="AI27" s="180"/>
      <c r="AJ27" s="180"/>
    </row>
    <row r="28" spans="1:36">
      <c r="A28" t="s">
        <v>663</v>
      </c>
      <c r="B28" s="354">
        <v>5583</v>
      </c>
      <c r="C28" s="352" t="s">
        <v>664</v>
      </c>
      <c r="D28" s="354">
        <v>5583</v>
      </c>
      <c r="E28" s="352" t="s">
        <v>374</v>
      </c>
      <c r="F28" s="355">
        <v>4052</v>
      </c>
      <c r="G28" s="353" t="s">
        <v>665</v>
      </c>
      <c r="H28" s="355">
        <v>4052</v>
      </c>
      <c r="I28" s="353" t="s">
        <v>374</v>
      </c>
      <c r="J28" s="351"/>
      <c r="K28" s="351"/>
      <c r="L28" s="351"/>
      <c r="M28" s="351"/>
      <c r="N28" s="351"/>
      <c r="O28" s="351"/>
      <c r="P28" s="351"/>
      <c r="Q28" s="351"/>
      <c r="R28" s="351"/>
      <c r="S28" s="351"/>
      <c r="T28" s="351"/>
      <c r="U28" s="351"/>
      <c r="V28" s="351"/>
      <c r="W28" s="351"/>
      <c r="X28" s="351"/>
      <c r="Y28" s="351"/>
      <c r="Z28" s="351"/>
      <c r="AA28" s="351"/>
      <c r="AB28" s="351"/>
      <c r="AC28" s="351"/>
      <c r="AD28" s="351"/>
      <c r="AE28" s="180"/>
      <c r="AF28" s="180"/>
      <c r="AG28" s="180"/>
      <c r="AH28" s="180"/>
      <c r="AI28" s="180"/>
      <c r="AJ28" s="180"/>
    </row>
    <row r="29" spans="1:36">
      <c r="A29" t="s">
        <v>673</v>
      </c>
      <c r="B29" s="354">
        <v>2513</v>
      </c>
      <c r="C29" s="352" t="s">
        <v>674</v>
      </c>
      <c r="D29" s="356">
        <v>0.45</v>
      </c>
      <c r="E29" s="352" t="s">
        <v>420</v>
      </c>
      <c r="F29" s="355">
        <v>1959</v>
      </c>
      <c r="G29" s="353" t="s">
        <v>675</v>
      </c>
      <c r="H29" s="357">
        <v>0.48299999999999998</v>
      </c>
      <c r="I29" s="353" t="s">
        <v>401</v>
      </c>
      <c r="J29" s="351"/>
      <c r="K29" s="351"/>
      <c r="L29" s="351"/>
      <c r="M29" s="351"/>
      <c r="N29" s="351"/>
      <c r="O29" s="351"/>
      <c r="P29" s="351"/>
      <c r="Q29" s="351"/>
      <c r="R29" s="351"/>
      <c r="S29" s="351"/>
      <c r="T29" s="351"/>
      <c r="U29" s="351"/>
      <c r="V29" s="351"/>
      <c r="W29" s="351"/>
      <c r="X29" s="351"/>
      <c r="Y29" s="351"/>
      <c r="Z29" s="351"/>
      <c r="AA29" s="351"/>
      <c r="AB29" s="351"/>
      <c r="AC29" s="351"/>
      <c r="AD29" s="351"/>
      <c r="AE29" s="180"/>
      <c r="AF29" s="180"/>
      <c r="AG29" s="180"/>
      <c r="AH29" s="180"/>
      <c r="AI29" s="180"/>
      <c r="AJ29" s="180"/>
    </row>
    <row r="30" spans="1:36">
      <c r="A30" t="s">
        <v>676</v>
      </c>
      <c r="B30" s="354">
        <v>3070</v>
      </c>
      <c r="C30" s="352" t="s">
        <v>677</v>
      </c>
      <c r="D30" s="356">
        <v>0.55000000000000004</v>
      </c>
      <c r="E30" s="352" t="s">
        <v>420</v>
      </c>
      <c r="F30" s="355">
        <v>2093</v>
      </c>
      <c r="G30" s="353" t="s">
        <v>678</v>
      </c>
      <c r="H30" s="357">
        <v>0.51700000000000002</v>
      </c>
      <c r="I30" s="353" t="s">
        <v>401</v>
      </c>
      <c r="J30" s="351"/>
      <c r="K30" s="351"/>
      <c r="L30" s="351"/>
      <c r="M30" s="351"/>
      <c r="N30" s="351"/>
      <c r="O30" s="351"/>
      <c r="P30" s="351"/>
      <c r="Q30" s="351"/>
      <c r="R30" s="351"/>
      <c r="S30" s="351"/>
      <c r="T30" s="351"/>
      <c r="U30" s="351"/>
      <c r="V30" s="351"/>
      <c r="W30" s="351"/>
      <c r="X30" s="351"/>
      <c r="Y30" s="351"/>
      <c r="Z30" s="351"/>
      <c r="AA30" s="351"/>
      <c r="AB30" s="351"/>
      <c r="AC30" s="351"/>
      <c r="AD30" s="351"/>
      <c r="AE30" s="180"/>
      <c r="AF30" s="180"/>
      <c r="AG30" s="180"/>
      <c r="AH30" s="180"/>
      <c r="AI30" s="180"/>
      <c r="AJ30" s="180"/>
    </row>
    <row r="31" spans="1:36">
      <c r="A31" t="s">
        <v>679</v>
      </c>
      <c r="B31" s="352">
        <v>81.900000000000006</v>
      </c>
      <c r="C31" s="352" t="s">
        <v>680</v>
      </c>
      <c r="D31" s="352" t="s">
        <v>374</v>
      </c>
      <c r="E31" s="352" t="s">
        <v>374</v>
      </c>
      <c r="F31" s="353">
        <v>93.6</v>
      </c>
      <c r="G31" s="353" t="s">
        <v>680</v>
      </c>
      <c r="H31" s="353" t="s">
        <v>374</v>
      </c>
      <c r="I31" s="353" t="s">
        <v>374</v>
      </c>
      <c r="J31" s="351"/>
      <c r="K31" s="351"/>
      <c r="L31" s="351"/>
      <c r="M31" s="351"/>
      <c r="N31" s="351"/>
      <c r="O31" s="351"/>
      <c r="P31" s="351"/>
      <c r="Q31" s="351"/>
      <c r="R31" s="351"/>
      <c r="S31" s="351"/>
      <c r="T31" s="351"/>
      <c r="U31" s="351"/>
      <c r="V31" s="351"/>
      <c r="W31" s="351"/>
      <c r="X31" s="351"/>
      <c r="Y31" s="351"/>
      <c r="Z31" s="351"/>
      <c r="AA31" s="351"/>
      <c r="AB31" s="351"/>
      <c r="AC31" s="351"/>
      <c r="AD31" s="351"/>
      <c r="AE31" s="180"/>
      <c r="AF31" s="180"/>
      <c r="AG31" s="180"/>
      <c r="AH31" s="180"/>
      <c r="AI31" s="180"/>
      <c r="AJ31" s="180"/>
    </row>
    <row r="32" spans="1:36">
      <c r="A32" t="s">
        <v>671</v>
      </c>
      <c r="B32" s="354">
        <v>1173</v>
      </c>
      <c r="C32" s="352" t="s">
        <v>672</v>
      </c>
      <c r="D32" s="354">
        <v>1173</v>
      </c>
      <c r="E32" s="352" t="s">
        <v>374</v>
      </c>
      <c r="F32" s="353">
        <v>820</v>
      </c>
      <c r="G32" s="353" t="s">
        <v>381</v>
      </c>
      <c r="H32" s="353">
        <v>820</v>
      </c>
      <c r="I32" s="353" t="s">
        <v>374</v>
      </c>
      <c r="J32" s="351"/>
      <c r="K32" s="351"/>
      <c r="L32" s="351"/>
      <c r="M32" s="351"/>
      <c r="N32" s="351"/>
      <c r="O32" s="351"/>
      <c r="P32" s="351"/>
      <c r="Q32" s="351"/>
      <c r="R32" s="351"/>
      <c r="S32" s="351"/>
      <c r="T32" s="351"/>
      <c r="U32" s="351"/>
      <c r="V32" s="351"/>
      <c r="W32" s="351"/>
      <c r="X32" s="351"/>
      <c r="Y32" s="351"/>
      <c r="Z32" s="351"/>
      <c r="AA32" s="351"/>
      <c r="AB32" s="351"/>
      <c r="AC32" s="351"/>
      <c r="AD32" s="351"/>
      <c r="AE32" s="180"/>
      <c r="AF32" s="180"/>
      <c r="AG32" s="180"/>
      <c r="AH32" s="180"/>
      <c r="AI32" s="180"/>
      <c r="AJ32" s="180"/>
    </row>
    <row r="33" spans="1:36">
      <c r="A33" t="s">
        <v>673</v>
      </c>
      <c r="B33" s="352">
        <v>537</v>
      </c>
      <c r="C33" s="352" t="s">
        <v>681</v>
      </c>
      <c r="D33" s="356">
        <v>0.45800000000000002</v>
      </c>
      <c r="E33" s="352" t="s">
        <v>441</v>
      </c>
      <c r="F33" s="353">
        <v>329</v>
      </c>
      <c r="G33" s="353" t="s">
        <v>383</v>
      </c>
      <c r="H33" s="357">
        <v>0.40100000000000002</v>
      </c>
      <c r="I33" s="353" t="s">
        <v>682</v>
      </c>
      <c r="J33" s="351"/>
      <c r="K33" s="351"/>
      <c r="L33" s="351"/>
      <c r="M33" s="351"/>
      <c r="N33" s="351"/>
      <c r="O33" s="351"/>
      <c r="P33" s="351"/>
      <c r="Q33" s="351"/>
      <c r="R33" s="351"/>
      <c r="S33" s="351"/>
      <c r="T33" s="351"/>
      <c r="U33" s="351"/>
      <c r="V33" s="351"/>
      <c r="W33" s="351"/>
      <c r="X33" s="351"/>
      <c r="Y33" s="351"/>
      <c r="Z33" s="351"/>
      <c r="AA33" s="351"/>
      <c r="AB33" s="351"/>
      <c r="AC33" s="351"/>
      <c r="AD33" s="351"/>
      <c r="AE33" s="180"/>
      <c r="AF33" s="180"/>
      <c r="AG33" s="180"/>
      <c r="AH33" s="180"/>
      <c r="AI33" s="180"/>
      <c r="AJ33" s="180"/>
    </row>
    <row r="34" spans="1:36">
      <c r="A34" t="s">
        <v>676</v>
      </c>
      <c r="B34" s="352">
        <v>636</v>
      </c>
      <c r="C34" s="352" t="s">
        <v>429</v>
      </c>
      <c r="D34" s="356">
        <v>0.54200000000000004</v>
      </c>
      <c r="E34" s="352" t="s">
        <v>441</v>
      </c>
      <c r="F34" s="353">
        <v>491</v>
      </c>
      <c r="G34" s="353" t="s">
        <v>437</v>
      </c>
      <c r="H34" s="357">
        <v>0.59899999999999998</v>
      </c>
      <c r="I34" s="353" t="s">
        <v>682</v>
      </c>
      <c r="J34" s="351"/>
      <c r="K34" s="351"/>
      <c r="L34" s="351"/>
      <c r="M34" s="351"/>
      <c r="N34" s="351"/>
      <c r="O34" s="351"/>
      <c r="P34" s="351"/>
      <c r="Q34" s="351"/>
      <c r="R34" s="351"/>
      <c r="S34" s="351"/>
      <c r="T34" s="351"/>
      <c r="U34" s="351"/>
      <c r="V34" s="351"/>
      <c r="W34" s="351"/>
      <c r="X34" s="351"/>
      <c r="Y34" s="351"/>
      <c r="Z34" s="351"/>
      <c r="AA34" s="351"/>
      <c r="AB34" s="351"/>
      <c r="AC34" s="351"/>
      <c r="AD34" s="351"/>
      <c r="AE34" s="180"/>
      <c r="AF34" s="180"/>
      <c r="AG34" s="180"/>
      <c r="AH34" s="180"/>
      <c r="AI34" s="180"/>
      <c r="AJ34" s="180"/>
    </row>
    <row r="35" spans="1:36">
      <c r="A35" t="s">
        <v>679</v>
      </c>
      <c r="B35" s="352">
        <v>84.4</v>
      </c>
      <c r="C35" s="352" t="s">
        <v>683</v>
      </c>
      <c r="D35" s="352" t="s">
        <v>374</v>
      </c>
      <c r="E35" s="352" t="s">
        <v>374</v>
      </c>
      <c r="F35" s="353">
        <v>67</v>
      </c>
      <c r="G35" s="353" t="s">
        <v>684</v>
      </c>
      <c r="H35" s="353" t="s">
        <v>374</v>
      </c>
      <c r="I35" s="353" t="s">
        <v>374</v>
      </c>
      <c r="J35" s="351"/>
      <c r="K35" s="351"/>
      <c r="L35" s="351"/>
      <c r="M35" s="351"/>
      <c r="N35" s="351"/>
      <c r="O35" s="351"/>
      <c r="P35" s="351"/>
      <c r="Q35" s="351"/>
      <c r="R35" s="351"/>
      <c r="S35" s="351"/>
      <c r="T35" s="351"/>
      <c r="U35" s="351"/>
      <c r="V35" s="351"/>
      <c r="W35" s="351"/>
      <c r="X35" s="351"/>
      <c r="Y35" s="351"/>
      <c r="Z35" s="351"/>
      <c r="AA35" s="351"/>
      <c r="AB35" s="351"/>
      <c r="AC35" s="351"/>
      <c r="AD35" s="351"/>
      <c r="AE35" s="180"/>
      <c r="AF35" s="180"/>
      <c r="AG35" s="180"/>
      <c r="AH35" s="180"/>
      <c r="AI35" s="180"/>
      <c r="AJ35" s="180"/>
    </row>
    <row r="36" spans="1:36">
      <c r="A36" t="s">
        <v>685</v>
      </c>
      <c r="B36" s="352"/>
      <c r="C36" s="352"/>
      <c r="D36" s="352"/>
      <c r="E36" s="352"/>
      <c r="F36" s="353"/>
      <c r="G36" s="353"/>
      <c r="H36" s="353"/>
      <c r="I36" s="353"/>
      <c r="J36" s="351"/>
      <c r="K36" s="351"/>
      <c r="L36" s="351"/>
      <c r="M36" s="351"/>
      <c r="N36" s="351"/>
      <c r="O36" s="351"/>
      <c r="P36" s="351"/>
      <c r="Q36" s="351"/>
      <c r="R36" s="351"/>
      <c r="S36" s="351"/>
      <c r="T36" s="351"/>
      <c r="U36" s="351"/>
      <c r="V36" s="351"/>
      <c r="W36" s="351"/>
      <c r="X36" s="351"/>
      <c r="Y36" s="351"/>
      <c r="Z36" s="351"/>
      <c r="AA36" s="351"/>
      <c r="AB36" s="351"/>
      <c r="AC36" s="351"/>
      <c r="AD36" s="351"/>
      <c r="AE36" s="180"/>
      <c r="AF36" s="180"/>
      <c r="AG36" s="180"/>
      <c r="AH36" s="180"/>
      <c r="AI36" s="180"/>
      <c r="AJ36" s="180"/>
    </row>
    <row r="37" spans="1:36">
      <c r="A37" t="s">
        <v>620</v>
      </c>
      <c r="B37" s="354">
        <v>6709</v>
      </c>
      <c r="C37" s="352" t="s">
        <v>621</v>
      </c>
      <c r="D37" s="354">
        <v>6709</v>
      </c>
      <c r="E37" s="352" t="s">
        <v>374</v>
      </c>
      <c r="F37" s="355">
        <v>5060</v>
      </c>
      <c r="G37" s="353" t="s">
        <v>622</v>
      </c>
      <c r="H37" s="355">
        <v>5060</v>
      </c>
      <c r="I37" s="353" t="s">
        <v>374</v>
      </c>
      <c r="J37" s="351"/>
      <c r="K37" s="351"/>
      <c r="L37" s="351"/>
      <c r="M37" s="351"/>
      <c r="N37" s="351"/>
      <c r="O37" s="351"/>
      <c r="P37" s="351"/>
      <c r="Q37" s="351"/>
      <c r="R37" s="351"/>
      <c r="S37" s="351"/>
      <c r="T37" s="351"/>
      <c r="U37" s="351"/>
      <c r="V37" s="351"/>
      <c r="W37" s="351"/>
      <c r="X37" s="351"/>
      <c r="Y37" s="351"/>
      <c r="Z37" s="351"/>
      <c r="AA37" s="351"/>
      <c r="AB37" s="351"/>
      <c r="AC37" s="351"/>
      <c r="AD37" s="351"/>
      <c r="AE37" s="180"/>
      <c r="AF37" s="180"/>
      <c r="AG37" s="180"/>
      <c r="AH37" s="180"/>
      <c r="AI37" s="180"/>
      <c r="AJ37" s="180"/>
    </row>
    <row r="38" spans="1:36">
      <c r="A38" t="s">
        <v>686</v>
      </c>
      <c r="B38" s="354">
        <v>5812</v>
      </c>
      <c r="C38" s="352" t="s">
        <v>687</v>
      </c>
      <c r="D38" s="356">
        <v>0.86599999999999999</v>
      </c>
      <c r="E38" s="352" t="s">
        <v>434</v>
      </c>
      <c r="F38" s="355">
        <v>4687</v>
      </c>
      <c r="G38" s="353" t="s">
        <v>688</v>
      </c>
      <c r="H38" s="357">
        <v>0.92600000000000005</v>
      </c>
      <c r="I38" s="353" t="s">
        <v>414</v>
      </c>
      <c r="J38" s="351"/>
      <c r="K38" s="351"/>
      <c r="L38" s="351"/>
      <c r="M38" s="351"/>
      <c r="N38" s="351"/>
      <c r="O38" s="351"/>
      <c r="P38" s="351"/>
      <c r="Q38" s="351"/>
      <c r="R38" s="351"/>
      <c r="S38" s="351"/>
      <c r="T38" s="351"/>
      <c r="U38" s="351"/>
      <c r="V38" s="351"/>
      <c r="W38" s="351"/>
      <c r="X38" s="351"/>
      <c r="Y38" s="351"/>
      <c r="Z38" s="351"/>
      <c r="AA38" s="351"/>
      <c r="AB38" s="351"/>
      <c r="AC38" s="351"/>
      <c r="AD38" s="351"/>
      <c r="AE38" s="180"/>
      <c r="AF38" s="180"/>
      <c r="AG38" s="180"/>
      <c r="AH38" s="180"/>
      <c r="AI38" s="180"/>
      <c r="AJ38" s="180"/>
    </row>
    <row r="39" spans="1:36">
      <c r="A39" t="s">
        <v>689</v>
      </c>
      <c r="B39" s="352">
        <v>897</v>
      </c>
      <c r="C39" s="352" t="s">
        <v>690</v>
      </c>
      <c r="D39" s="356">
        <v>0.13400000000000001</v>
      </c>
      <c r="E39" s="352" t="s">
        <v>434</v>
      </c>
      <c r="F39" s="353">
        <v>373</v>
      </c>
      <c r="G39" s="353" t="s">
        <v>476</v>
      </c>
      <c r="H39" s="357">
        <v>7.3999999999999996E-2</v>
      </c>
      <c r="I39" s="353" t="s">
        <v>414</v>
      </c>
      <c r="J39" s="351"/>
      <c r="K39" s="351"/>
      <c r="L39" s="351"/>
      <c r="M39" s="351"/>
      <c r="N39" s="351"/>
      <c r="O39" s="351"/>
      <c r="P39" s="351"/>
      <c r="Q39" s="351"/>
      <c r="R39" s="351"/>
      <c r="S39" s="351"/>
      <c r="T39" s="351"/>
      <c r="U39" s="351"/>
      <c r="V39" s="351"/>
      <c r="W39" s="351"/>
      <c r="X39" s="351"/>
      <c r="Y39" s="351"/>
      <c r="Z39" s="351"/>
      <c r="AA39" s="351"/>
      <c r="AB39" s="351"/>
      <c r="AC39" s="351"/>
      <c r="AD39" s="351"/>
      <c r="AE39" s="180"/>
      <c r="AF39" s="180"/>
      <c r="AG39" s="180"/>
      <c r="AH39" s="180"/>
      <c r="AI39" s="180"/>
      <c r="AJ39" s="180"/>
    </row>
    <row r="40" spans="1:36">
      <c r="A40" t="s">
        <v>686</v>
      </c>
      <c r="B40" s="354">
        <v>5812</v>
      </c>
      <c r="C40" s="352" t="s">
        <v>687</v>
      </c>
      <c r="D40" s="356">
        <v>0.86599999999999999</v>
      </c>
      <c r="E40" s="352" t="s">
        <v>434</v>
      </c>
      <c r="F40" s="355">
        <v>4687</v>
      </c>
      <c r="G40" s="353" t="s">
        <v>688</v>
      </c>
      <c r="H40" s="357">
        <v>0.92600000000000005</v>
      </c>
      <c r="I40" s="353" t="s">
        <v>414</v>
      </c>
      <c r="J40" s="351"/>
      <c r="K40" s="351"/>
      <c r="L40" s="351"/>
      <c r="M40" s="351"/>
      <c r="N40" s="351"/>
      <c r="O40" s="351"/>
      <c r="P40" s="351"/>
      <c r="Q40" s="351"/>
      <c r="R40" s="351"/>
      <c r="S40" s="351"/>
      <c r="T40" s="351"/>
      <c r="U40" s="351"/>
      <c r="V40" s="351"/>
      <c r="W40" s="351"/>
      <c r="X40" s="351"/>
      <c r="Y40" s="351"/>
      <c r="Z40" s="351"/>
      <c r="AA40" s="351"/>
      <c r="AB40" s="351"/>
      <c r="AC40" s="351"/>
      <c r="AD40" s="351"/>
      <c r="AE40" s="180"/>
      <c r="AF40" s="180"/>
      <c r="AG40" s="180"/>
      <c r="AH40" s="180"/>
      <c r="AI40" s="180"/>
      <c r="AJ40" s="180"/>
    </row>
    <row r="41" spans="1:36">
      <c r="A41" t="s">
        <v>691</v>
      </c>
      <c r="B41" s="354">
        <v>4940</v>
      </c>
      <c r="C41" s="352" t="s">
        <v>594</v>
      </c>
      <c r="D41" s="356">
        <v>0.73599999999999999</v>
      </c>
      <c r="E41" s="352" t="s">
        <v>692</v>
      </c>
      <c r="F41" s="355">
        <v>4461</v>
      </c>
      <c r="G41" s="353" t="s">
        <v>693</v>
      </c>
      <c r="H41" s="357">
        <v>0.88200000000000001</v>
      </c>
      <c r="I41" s="353" t="s">
        <v>411</v>
      </c>
      <c r="J41" s="351"/>
      <c r="K41" s="351"/>
      <c r="L41" s="351"/>
      <c r="M41" s="351"/>
      <c r="N41" s="351"/>
      <c r="O41" s="351"/>
      <c r="P41" s="351"/>
      <c r="Q41" s="351"/>
      <c r="R41" s="351"/>
      <c r="S41" s="351"/>
      <c r="T41" s="351"/>
      <c r="U41" s="351"/>
      <c r="V41" s="351"/>
      <c r="W41" s="351"/>
      <c r="X41" s="351"/>
      <c r="Y41" s="351"/>
      <c r="Z41" s="351"/>
      <c r="AA41" s="351"/>
      <c r="AB41" s="351"/>
      <c r="AC41" s="351"/>
      <c r="AD41" s="351"/>
      <c r="AE41" s="180"/>
      <c r="AF41" s="180"/>
      <c r="AG41" s="180"/>
      <c r="AH41" s="180"/>
      <c r="AI41" s="180"/>
      <c r="AJ41" s="180"/>
    </row>
    <row r="42" spans="1:36">
      <c r="A42" t="s">
        <v>694</v>
      </c>
      <c r="B42" s="352">
        <v>652</v>
      </c>
      <c r="C42" s="352" t="s">
        <v>695</v>
      </c>
      <c r="D42" s="356">
        <v>9.7000000000000003E-2</v>
      </c>
      <c r="E42" s="352" t="s">
        <v>388</v>
      </c>
      <c r="F42" s="353">
        <v>151</v>
      </c>
      <c r="G42" s="353" t="s">
        <v>696</v>
      </c>
      <c r="H42" s="357">
        <v>0.03</v>
      </c>
      <c r="I42" s="353" t="s">
        <v>386</v>
      </c>
      <c r="J42" s="351"/>
      <c r="K42" s="351"/>
      <c r="L42" s="351"/>
      <c r="M42" s="351"/>
      <c r="N42" s="351"/>
      <c r="O42" s="351"/>
      <c r="P42" s="351"/>
      <c r="Q42" s="351"/>
      <c r="R42" s="351"/>
      <c r="S42" s="351"/>
      <c r="T42" s="351"/>
      <c r="U42" s="351"/>
      <c r="V42" s="351"/>
      <c r="W42" s="351"/>
      <c r="X42" s="351"/>
      <c r="Y42" s="351"/>
      <c r="Z42" s="351"/>
      <c r="AA42" s="351"/>
      <c r="AB42" s="351"/>
      <c r="AC42" s="351"/>
      <c r="AD42" s="351"/>
      <c r="AE42" s="180"/>
      <c r="AF42" s="180"/>
      <c r="AG42" s="180"/>
      <c r="AH42" s="180"/>
      <c r="AI42" s="180"/>
      <c r="AJ42" s="180"/>
    </row>
    <row r="43" spans="1:36">
      <c r="A43" t="s">
        <v>697</v>
      </c>
      <c r="B43" s="352">
        <v>0</v>
      </c>
      <c r="C43" s="352" t="s">
        <v>356</v>
      </c>
      <c r="D43" s="356">
        <v>0</v>
      </c>
      <c r="E43" s="352" t="s">
        <v>657</v>
      </c>
      <c r="F43" s="353">
        <v>0</v>
      </c>
      <c r="G43" s="353" t="s">
        <v>356</v>
      </c>
      <c r="H43" s="357">
        <v>0</v>
      </c>
      <c r="I43" s="353" t="s">
        <v>405</v>
      </c>
      <c r="J43" s="351"/>
      <c r="K43" s="351"/>
      <c r="L43" s="351"/>
      <c r="M43" s="351"/>
      <c r="N43" s="351"/>
      <c r="O43" s="351"/>
      <c r="P43" s="351"/>
      <c r="Q43" s="351"/>
      <c r="R43" s="351"/>
      <c r="S43" s="351"/>
      <c r="T43" s="351"/>
      <c r="U43" s="351"/>
      <c r="V43" s="351"/>
      <c r="W43" s="351"/>
      <c r="X43" s="351"/>
      <c r="Y43" s="351"/>
      <c r="Z43" s="351"/>
      <c r="AA43" s="351"/>
      <c r="AB43" s="351"/>
      <c r="AC43" s="351"/>
      <c r="AD43" s="351"/>
      <c r="AE43" s="180"/>
      <c r="AF43" s="180"/>
      <c r="AG43" s="180"/>
      <c r="AH43" s="180"/>
      <c r="AI43" s="180"/>
      <c r="AJ43" s="180"/>
    </row>
    <row r="44" spans="1:36">
      <c r="A44" t="s">
        <v>698</v>
      </c>
      <c r="B44" s="352">
        <v>0</v>
      </c>
      <c r="C44" s="352" t="s">
        <v>356</v>
      </c>
      <c r="D44" s="356">
        <v>0</v>
      </c>
      <c r="E44" s="352" t="s">
        <v>657</v>
      </c>
      <c r="F44" s="353">
        <v>0</v>
      </c>
      <c r="G44" s="353" t="s">
        <v>356</v>
      </c>
      <c r="H44" s="357">
        <v>0</v>
      </c>
      <c r="I44" s="353" t="s">
        <v>405</v>
      </c>
      <c r="J44" s="351"/>
      <c r="K44" s="351"/>
      <c r="L44" s="351"/>
      <c r="M44" s="351"/>
      <c r="N44" s="351"/>
      <c r="O44" s="351"/>
      <c r="P44" s="351"/>
      <c r="Q44" s="351"/>
      <c r="R44" s="351"/>
      <c r="S44" s="351"/>
      <c r="T44" s="351"/>
      <c r="U44" s="351"/>
      <c r="V44" s="351"/>
      <c r="W44" s="351"/>
      <c r="X44" s="351"/>
      <c r="Y44" s="351"/>
      <c r="Z44" s="351"/>
      <c r="AA44" s="351"/>
      <c r="AB44" s="351"/>
      <c r="AC44" s="351"/>
      <c r="AD44" s="351"/>
      <c r="AE44" s="180"/>
      <c r="AF44" s="180"/>
      <c r="AG44" s="180"/>
      <c r="AH44" s="180"/>
      <c r="AI44" s="180"/>
      <c r="AJ44" s="180"/>
    </row>
    <row r="45" spans="1:36">
      <c r="A45" t="s">
        <v>699</v>
      </c>
      <c r="B45" s="352">
        <v>0</v>
      </c>
      <c r="C45" s="352" t="s">
        <v>356</v>
      </c>
      <c r="D45" s="356">
        <v>0</v>
      </c>
      <c r="E45" s="352" t="s">
        <v>657</v>
      </c>
      <c r="F45" s="353">
        <v>0</v>
      </c>
      <c r="G45" s="353" t="s">
        <v>356</v>
      </c>
      <c r="H45" s="357">
        <v>0</v>
      </c>
      <c r="I45" s="353" t="s">
        <v>405</v>
      </c>
      <c r="J45" s="351"/>
      <c r="K45" s="351"/>
      <c r="L45" s="351"/>
      <c r="M45" s="351"/>
      <c r="N45" s="351"/>
      <c r="O45" s="351"/>
      <c r="P45" s="351"/>
      <c r="Q45" s="351"/>
      <c r="R45" s="351"/>
      <c r="S45" s="351"/>
      <c r="T45" s="351"/>
      <c r="U45" s="351"/>
      <c r="V45" s="351"/>
      <c r="W45" s="351"/>
      <c r="X45" s="351"/>
      <c r="Y45" s="351"/>
      <c r="Z45" s="351"/>
      <c r="AA45" s="351"/>
      <c r="AB45" s="351"/>
      <c r="AC45" s="351"/>
      <c r="AD45" s="351"/>
      <c r="AE45" s="180"/>
      <c r="AF45" s="180"/>
      <c r="AG45" s="180"/>
      <c r="AH45" s="180"/>
      <c r="AI45" s="180"/>
      <c r="AJ45" s="180"/>
    </row>
    <row r="46" spans="1:36">
      <c r="A46" t="s">
        <v>700</v>
      </c>
      <c r="B46" s="352">
        <v>0</v>
      </c>
      <c r="C46" s="352" t="s">
        <v>356</v>
      </c>
      <c r="D46" s="356">
        <v>0</v>
      </c>
      <c r="E46" s="352" t="s">
        <v>657</v>
      </c>
      <c r="F46" s="353">
        <v>0</v>
      </c>
      <c r="G46" s="353" t="s">
        <v>356</v>
      </c>
      <c r="H46" s="357">
        <v>0</v>
      </c>
      <c r="I46" s="353" t="s">
        <v>405</v>
      </c>
      <c r="J46" s="5"/>
      <c r="K46" s="5"/>
      <c r="L46" s="5"/>
      <c r="M46" s="5"/>
      <c r="N46" s="5"/>
      <c r="O46" s="5"/>
      <c r="P46" s="5"/>
      <c r="Q46" s="5"/>
      <c r="R46" s="5"/>
      <c r="S46" s="5"/>
      <c r="T46" s="5"/>
      <c r="U46" s="5"/>
      <c r="V46" s="5"/>
      <c r="W46" s="5"/>
      <c r="X46" s="5"/>
      <c r="Y46" s="5"/>
      <c r="Z46" s="5"/>
      <c r="AA46" s="5"/>
      <c r="AB46" s="5"/>
      <c r="AC46" s="5"/>
      <c r="AD46" s="5"/>
    </row>
    <row r="47" spans="1:36">
      <c r="A47" t="s">
        <v>701</v>
      </c>
      <c r="B47" s="352">
        <v>0</v>
      </c>
      <c r="C47" s="352" t="s">
        <v>356</v>
      </c>
      <c r="D47" s="356">
        <v>0</v>
      </c>
      <c r="E47" s="352" t="s">
        <v>657</v>
      </c>
      <c r="F47" s="353">
        <v>0</v>
      </c>
      <c r="G47" s="353" t="s">
        <v>356</v>
      </c>
      <c r="H47" s="357">
        <v>0</v>
      </c>
      <c r="I47" s="353" t="s">
        <v>405</v>
      </c>
      <c r="J47" s="5"/>
      <c r="K47" s="5"/>
      <c r="L47" s="5"/>
      <c r="M47" s="5"/>
      <c r="N47" s="5"/>
      <c r="O47" s="5"/>
      <c r="P47" s="5"/>
      <c r="Q47" s="5"/>
      <c r="R47" s="5"/>
      <c r="S47" s="5"/>
      <c r="T47" s="5"/>
      <c r="U47" s="5"/>
      <c r="V47" s="5"/>
      <c r="W47" s="5"/>
      <c r="X47" s="5"/>
      <c r="Y47" s="5"/>
      <c r="Z47" s="5"/>
      <c r="AA47" s="5"/>
      <c r="AB47" s="5"/>
      <c r="AC47" s="5"/>
      <c r="AD47" s="5"/>
    </row>
    <row r="48" spans="1:36">
      <c r="A48" t="s">
        <v>702</v>
      </c>
      <c r="B48" s="352">
        <v>0</v>
      </c>
      <c r="C48" s="352" t="s">
        <v>356</v>
      </c>
      <c r="D48" s="356">
        <v>0</v>
      </c>
      <c r="E48" s="352" t="s">
        <v>657</v>
      </c>
      <c r="F48" s="353">
        <v>0</v>
      </c>
      <c r="G48" s="353" t="s">
        <v>356</v>
      </c>
      <c r="H48" s="357">
        <v>0</v>
      </c>
      <c r="I48" s="353" t="s">
        <v>405</v>
      </c>
      <c r="J48" s="5"/>
      <c r="K48" s="5"/>
      <c r="L48" s="5"/>
      <c r="M48" s="5"/>
      <c r="N48" s="5"/>
      <c r="O48" s="5"/>
      <c r="P48" s="5"/>
      <c r="Q48" s="5"/>
      <c r="R48" s="5"/>
      <c r="S48" s="5"/>
      <c r="T48" s="5"/>
      <c r="U48" s="5"/>
      <c r="V48" s="5"/>
      <c r="W48" s="5"/>
      <c r="X48" s="5"/>
      <c r="Y48" s="5"/>
      <c r="Z48" s="5"/>
      <c r="AA48" s="5"/>
      <c r="AB48" s="5"/>
      <c r="AC48" s="5"/>
      <c r="AD48" s="5"/>
    </row>
    <row r="49" spans="1:30">
      <c r="A49" t="s">
        <v>703</v>
      </c>
      <c r="B49" s="352">
        <v>0</v>
      </c>
      <c r="C49" s="352" t="s">
        <v>356</v>
      </c>
      <c r="D49" s="356">
        <v>0</v>
      </c>
      <c r="E49" s="352" t="s">
        <v>657</v>
      </c>
      <c r="F49" s="353">
        <v>0</v>
      </c>
      <c r="G49" s="353" t="s">
        <v>356</v>
      </c>
      <c r="H49" s="357">
        <v>0</v>
      </c>
      <c r="I49" s="353" t="s">
        <v>405</v>
      </c>
      <c r="J49" s="5"/>
      <c r="K49" s="5"/>
      <c r="L49" s="5"/>
      <c r="M49" s="5"/>
      <c r="N49" s="5"/>
      <c r="O49" s="5"/>
      <c r="P49" s="5"/>
      <c r="Q49" s="5"/>
      <c r="R49" s="5"/>
      <c r="S49" s="5"/>
      <c r="T49" s="5"/>
      <c r="U49" s="5"/>
      <c r="V49" s="5"/>
      <c r="W49" s="5"/>
      <c r="X49" s="5"/>
      <c r="Y49" s="5"/>
      <c r="Z49" s="5"/>
      <c r="AA49" s="5"/>
      <c r="AB49" s="5"/>
      <c r="AC49" s="5"/>
      <c r="AD49" s="5"/>
    </row>
    <row r="50" spans="1:30">
      <c r="A50" t="s">
        <v>704</v>
      </c>
      <c r="B50" s="352">
        <v>0</v>
      </c>
      <c r="C50" s="352" t="s">
        <v>356</v>
      </c>
      <c r="D50" s="356">
        <v>0</v>
      </c>
      <c r="E50" s="352" t="s">
        <v>657</v>
      </c>
      <c r="F50" s="353">
        <v>0</v>
      </c>
      <c r="G50" s="353" t="s">
        <v>356</v>
      </c>
      <c r="H50" s="357">
        <v>0</v>
      </c>
      <c r="I50" s="353" t="s">
        <v>405</v>
      </c>
      <c r="J50" s="5"/>
      <c r="K50" s="5"/>
      <c r="L50" s="5"/>
      <c r="M50" s="5"/>
      <c r="N50" s="5"/>
      <c r="O50" s="5"/>
      <c r="P50" s="5"/>
      <c r="Q50" s="5"/>
      <c r="R50" s="5"/>
      <c r="S50" s="5"/>
      <c r="T50" s="5"/>
      <c r="U50" s="5"/>
      <c r="V50" s="5"/>
      <c r="W50" s="5"/>
      <c r="X50" s="5"/>
      <c r="Y50" s="5"/>
      <c r="Z50" s="5"/>
      <c r="AA50" s="5"/>
      <c r="AB50" s="5"/>
      <c r="AC50" s="5"/>
      <c r="AD50" s="5"/>
    </row>
    <row r="51" spans="1:30">
      <c r="A51" t="s">
        <v>705</v>
      </c>
      <c r="B51" s="352">
        <v>119</v>
      </c>
      <c r="C51" s="352" t="s">
        <v>444</v>
      </c>
      <c r="D51" s="356">
        <v>1.7999999999999999E-2</v>
      </c>
      <c r="E51" s="352" t="s">
        <v>432</v>
      </c>
      <c r="F51" s="353">
        <v>75</v>
      </c>
      <c r="G51" s="353" t="s">
        <v>410</v>
      </c>
      <c r="H51" s="357">
        <v>1.4999999999999999E-2</v>
      </c>
      <c r="I51" s="353" t="s">
        <v>384</v>
      </c>
      <c r="J51" s="5"/>
      <c r="K51" s="5"/>
      <c r="L51" s="5"/>
      <c r="M51" s="5"/>
      <c r="N51" s="5"/>
      <c r="O51" s="5"/>
      <c r="P51" s="5"/>
      <c r="Q51" s="5"/>
      <c r="R51" s="5"/>
      <c r="S51" s="5"/>
      <c r="T51" s="5"/>
      <c r="U51" s="5"/>
      <c r="V51" s="5"/>
      <c r="W51" s="5"/>
      <c r="X51" s="5"/>
      <c r="Y51" s="5"/>
      <c r="Z51" s="5"/>
      <c r="AA51" s="5"/>
      <c r="AB51" s="5"/>
      <c r="AC51" s="5"/>
      <c r="AD51" s="5"/>
    </row>
    <row r="52" spans="1:30">
      <c r="A52" t="s">
        <v>706</v>
      </c>
      <c r="B52" s="352">
        <v>0</v>
      </c>
      <c r="C52" s="352" t="s">
        <v>356</v>
      </c>
      <c r="D52" s="356">
        <v>0</v>
      </c>
      <c r="E52" s="352" t="s">
        <v>657</v>
      </c>
      <c r="F52" s="353">
        <v>0</v>
      </c>
      <c r="G52" s="353" t="s">
        <v>356</v>
      </c>
      <c r="H52" s="357">
        <v>0</v>
      </c>
      <c r="I52" s="353" t="s">
        <v>405</v>
      </c>
      <c r="J52" s="5"/>
      <c r="K52" s="5"/>
      <c r="L52" s="5"/>
      <c r="M52" s="5"/>
      <c r="N52" s="5"/>
      <c r="O52" s="5"/>
      <c r="P52" s="5"/>
      <c r="Q52" s="5"/>
      <c r="R52" s="5"/>
      <c r="S52" s="5"/>
      <c r="T52" s="5"/>
      <c r="U52" s="5"/>
      <c r="V52" s="5"/>
      <c r="W52" s="5"/>
      <c r="X52" s="5"/>
      <c r="Y52" s="5"/>
      <c r="Z52" s="5"/>
      <c r="AA52" s="5"/>
      <c r="AB52" s="5"/>
      <c r="AC52" s="5"/>
      <c r="AD52" s="5"/>
    </row>
    <row r="53" spans="1:30">
      <c r="A53" t="s">
        <v>707</v>
      </c>
      <c r="B53" s="352">
        <v>0</v>
      </c>
      <c r="C53" s="352" t="s">
        <v>356</v>
      </c>
      <c r="D53" s="356">
        <v>0</v>
      </c>
      <c r="E53" s="352" t="s">
        <v>657</v>
      </c>
      <c r="F53" s="353">
        <v>75</v>
      </c>
      <c r="G53" s="353" t="s">
        <v>410</v>
      </c>
      <c r="H53" s="357">
        <v>1.4999999999999999E-2</v>
      </c>
      <c r="I53" s="353" t="s">
        <v>384</v>
      </c>
      <c r="J53" s="5"/>
      <c r="K53" s="5"/>
      <c r="L53" s="5"/>
      <c r="M53" s="5"/>
      <c r="N53" s="5"/>
      <c r="O53" s="5"/>
      <c r="P53" s="5"/>
      <c r="Q53" s="5"/>
      <c r="R53" s="5"/>
      <c r="S53" s="5"/>
      <c r="T53" s="5"/>
      <c r="U53" s="5"/>
      <c r="V53" s="5"/>
      <c r="W53" s="5"/>
      <c r="X53" s="5"/>
      <c r="Y53" s="5"/>
      <c r="Z53" s="5"/>
      <c r="AA53" s="5"/>
      <c r="AB53" s="5"/>
      <c r="AC53" s="5"/>
      <c r="AD53" s="5"/>
    </row>
    <row r="54" spans="1:30">
      <c r="A54" t="s">
        <v>708</v>
      </c>
      <c r="B54" s="352">
        <v>0</v>
      </c>
      <c r="C54" s="352" t="s">
        <v>356</v>
      </c>
      <c r="D54" s="356">
        <v>0</v>
      </c>
      <c r="E54" s="352" t="s">
        <v>657</v>
      </c>
      <c r="F54" s="353">
        <v>0</v>
      </c>
      <c r="G54" s="353" t="s">
        <v>356</v>
      </c>
      <c r="H54" s="357">
        <v>0</v>
      </c>
      <c r="I54" s="353" t="s">
        <v>405</v>
      </c>
      <c r="J54" s="5"/>
      <c r="K54" s="5"/>
      <c r="L54" s="5"/>
      <c r="M54" s="5"/>
      <c r="N54" s="5"/>
      <c r="O54" s="5"/>
      <c r="P54" s="5"/>
      <c r="Q54" s="5"/>
      <c r="R54" s="5"/>
      <c r="S54" s="5"/>
      <c r="T54" s="5"/>
      <c r="U54" s="5"/>
      <c r="V54" s="5"/>
      <c r="W54" s="5"/>
      <c r="X54" s="5"/>
      <c r="Y54" s="5"/>
      <c r="Z54" s="5"/>
      <c r="AA54" s="5"/>
      <c r="AB54" s="5"/>
      <c r="AC54" s="5"/>
      <c r="AD54" s="5"/>
    </row>
    <row r="55" spans="1:30">
      <c r="A55" t="s">
        <v>709</v>
      </c>
      <c r="B55" s="352">
        <v>0</v>
      </c>
      <c r="C55" s="352" t="s">
        <v>356</v>
      </c>
      <c r="D55" s="356">
        <v>0</v>
      </c>
      <c r="E55" s="352" t="s">
        <v>657</v>
      </c>
      <c r="F55" s="353">
        <v>0</v>
      </c>
      <c r="G55" s="353" t="s">
        <v>356</v>
      </c>
      <c r="H55" s="357">
        <v>0</v>
      </c>
      <c r="I55" s="353" t="s">
        <v>405</v>
      </c>
      <c r="J55" s="5"/>
      <c r="K55" s="5"/>
      <c r="L55" s="5"/>
      <c r="M55" s="5"/>
      <c r="N55" s="5"/>
      <c r="O55" s="5"/>
      <c r="P55" s="5"/>
      <c r="Q55" s="5"/>
      <c r="R55" s="5"/>
      <c r="S55" s="5"/>
      <c r="T55" s="5"/>
      <c r="U55" s="5"/>
      <c r="V55" s="5"/>
      <c r="W55" s="5"/>
      <c r="X55" s="5"/>
      <c r="Y55" s="5"/>
      <c r="Z55" s="5"/>
      <c r="AA55" s="5"/>
      <c r="AB55" s="5"/>
      <c r="AC55" s="5"/>
      <c r="AD55" s="5"/>
    </row>
    <row r="56" spans="1:30">
      <c r="A56" t="s">
        <v>710</v>
      </c>
      <c r="B56" s="352">
        <v>68</v>
      </c>
      <c r="C56" s="352" t="s">
        <v>445</v>
      </c>
      <c r="D56" s="356">
        <v>0.01</v>
      </c>
      <c r="E56" s="352" t="s">
        <v>422</v>
      </c>
      <c r="F56" s="353">
        <v>0</v>
      </c>
      <c r="G56" s="353" t="s">
        <v>356</v>
      </c>
      <c r="H56" s="357">
        <v>0</v>
      </c>
      <c r="I56" s="353" t="s">
        <v>405</v>
      </c>
      <c r="J56" s="5"/>
      <c r="K56" s="5"/>
      <c r="L56" s="5"/>
      <c r="M56" s="5"/>
      <c r="N56" s="5"/>
      <c r="O56" s="5"/>
      <c r="P56" s="5"/>
      <c r="Q56" s="5"/>
      <c r="R56" s="5"/>
      <c r="S56" s="5"/>
      <c r="T56" s="5"/>
      <c r="U56" s="5"/>
      <c r="V56" s="5"/>
      <c r="W56" s="5"/>
      <c r="X56" s="5"/>
      <c r="Y56" s="5"/>
      <c r="Z56" s="5"/>
      <c r="AA56" s="5"/>
      <c r="AB56" s="5"/>
      <c r="AC56" s="5"/>
      <c r="AD56" s="5"/>
    </row>
    <row r="57" spans="1:30">
      <c r="A57" t="s">
        <v>711</v>
      </c>
      <c r="B57" s="352">
        <v>0</v>
      </c>
      <c r="C57" s="352" t="s">
        <v>356</v>
      </c>
      <c r="D57" s="356">
        <v>0</v>
      </c>
      <c r="E57" s="352" t="s">
        <v>657</v>
      </c>
      <c r="F57" s="353">
        <v>0</v>
      </c>
      <c r="G57" s="353" t="s">
        <v>356</v>
      </c>
      <c r="H57" s="357">
        <v>0</v>
      </c>
      <c r="I57" s="353" t="s">
        <v>405</v>
      </c>
      <c r="J57" s="5"/>
      <c r="K57" s="5"/>
      <c r="L57" s="5"/>
      <c r="M57" s="5"/>
      <c r="N57" s="5"/>
      <c r="O57" s="5"/>
      <c r="P57" s="5"/>
      <c r="Q57" s="5"/>
      <c r="R57" s="5"/>
      <c r="S57" s="5"/>
      <c r="T57" s="5"/>
      <c r="U57" s="5"/>
      <c r="V57" s="5"/>
      <c r="W57" s="5"/>
      <c r="X57" s="5"/>
      <c r="Y57" s="5"/>
      <c r="Z57" s="5"/>
      <c r="AA57" s="5"/>
      <c r="AB57" s="5"/>
      <c r="AC57" s="5"/>
      <c r="AD57" s="5"/>
    </row>
    <row r="58" spans="1:30">
      <c r="A58" t="s">
        <v>712</v>
      </c>
      <c r="B58" s="352">
        <v>51</v>
      </c>
      <c r="C58" s="352" t="s">
        <v>381</v>
      </c>
      <c r="D58" s="356">
        <v>8.0000000000000002E-3</v>
      </c>
      <c r="E58" s="352" t="s">
        <v>424</v>
      </c>
      <c r="F58" s="353">
        <v>0</v>
      </c>
      <c r="G58" s="353" t="s">
        <v>356</v>
      </c>
      <c r="H58" s="357">
        <v>0</v>
      </c>
      <c r="I58" s="353" t="s">
        <v>405</v>
      </c>
      <c r="J58" s="5"/>
      <c r="K58" s="5"/>
      <c r="L58" s="5"/>
      <c r="M58" s="5"/>
      <c r="N58" s="5"/>
      <c r="O58" s="5"/>
      <c r="P58" s="5"/>
      <c r="Q58" s="5"/>
      <c r="R58" s="5"/>
      <c r="S58" s="5"/>
      <c r="T58" s="5"/>
      <c r="U58" s="5"/>
      <c r="V58" s="5"/>
      <c r="W58" s="5"/>
      <c r="X58" s="5"/>
      <c r="Y58" s="5"/>
      <c r="Z58" s="5"/>
      <c r="AA58" s="5"/>
      <c r="AB58" s="5"/>
      <c r="AC58" s="5"/>
      <c r="AD58" s="5"/>
    </row>
    <row r="59" spans="1:30">
      <c r="A59" t="s">
        <v>713</v>
      </c>
      <c r="B59" s="352">
        <v>0</v>
      </c>
      <c r="C59" s="352" t="s">
        <v>356</v>
      </c>
      <c r="D59" s="356">
        <v>0</v>
      </c>
      <c r="E59" s="352" t="s">
        <v>657</v>
      </c>
      <c r="F59" s="353">
        <v>0</v>
      </c>
      <c r="G59" s="353" t="s">
        <v>356</v>
      </c>
      <c r="H59" s="357">
        <v>0</v>
      </c>
      <c r="I59" s="353" t="s">
        <v>405</v>
      </c>
      <c r="J59" s="5"/>
      <c r="K59" s="5"/>
      <c r="L59" s="5"/>
      <c r="M59" s="5"/>
      <c r="N59" s="5"/>
      <c r="O59" s="5"/>
      <c r="P59" s="5"/>
      <c r="Q59" s="5"/>
      <c r="R59" s="5"/>
      <c r="S59" s="5"/>
      <c r="T59" s="5"/>
      <c r="U59" s="5"/>
      <c r="V59" s="5"/>
      <c r="W59" s="5"/>
      <c r="X59" s="5"/>
      <c r="Y59" s="5"/>
      <c r="Z59" s="5"/>
      <c r="AA59" s="5"/>
      <c r="AB59" s="5"/>
      <c r="AC59" s="5"/>
      <c r="AD59" s="5"/>
    </row>
    <row r="60" spans="1:30">
      <c r="A60" t="s">
        <v>714</v>
      </c>
      <c r="B60" s="352">
        <v>0</v>
      </c>
      <c r="C60" s="352" t="s">
        <v>356</v>
      </c>
      <c r="D60" s="356">
        <v>0</v>
      </c>
      <c r="E60" s="352" t="s">
        <v>657</v>
      </c>
      <c r="F60" s="353">
        <v>0</v>
      </c>
      <c r="G60" s="353" t="s">
        <v>356</v>
      </c>
      <c r="H60" s="357">
        <v>0</v>
      </c>
      <c r="I60" s="353" t="s">
        <v>405</v>
      </c>
      <c r="J60" s="5"/>
      <c r="K60" s="5"/>
      <c r="L60" s="5"/>
      <c r="M60" s="5"/>
      <c r="N60" s="5"/>
      <c r="O60" s="5"/>
      <c r="P60" s="5"/>
      <c r="Q60" s="5"/>
      <c r="R60" s="5"/>
      <c r="S60" s="5"/>
      <c r="T60" s="5"/>
      <c r="U60" s="5"/>
      <c r="V60" s="5"/>
      <c r="W60" s="5"/>
      <c r="X60" s="5"/>
      <c r="Y60" s="5"/>
      <c r="Z60" s="5"/>
      <c r="AA60" s="5"/>
      <c r="AB60" s="5"/>
      <c r="AC60" s="5"/>
      <c r="AD60" s="5"/>
    </row>
    <row r="61" spans="1:30">
      <c r="A61" t="s">
        <v>715</v>
      </c>
      <c r="B61" s="352">
        <v>0</v>
      </c>
      <c r="C61" s="352" t="s">
        <v>356</v>
      </c>
      <c r="D61" s="356">
        <v>0</v>
      </c>
      <c r="E61" s="352" t="s">
        <v>657</v>
      </c>
      <c r="F61" s="353">
        <v>0</v>
      </c>
      <c r="G61" s="353" t="s">
        <v>356</v>
      </c>
      <c r="H61" s="357">
        <v>0</v>
      </c>
      <c r="I61" s="353" t="s">
        <v>405</v>
      </c>
      <c r="J61" s="5"/>
      <c r="K61" s="5"/>
      <c r="L61" s="5"/>
      <c r="M61" s="5"/>
      <c r="N61" s="5"/>
      <c r="O61" s="5"/>
      <c r="P61" s="5"/>
      <c r="Q61" s="5"/>
      <c r="R61" s="5"/>
      <c r="S61" s="5"/>
      <c r="T61" s="5"/>
      <c r="U61" s="5"/>
      <c r="V61" s="5"/>
      <c r="W61" s="5"/>
      <c r="X61" s="5"/>
      <c r="Y61" s="5"/>
      <c r="Z61" s="5"/>
      <c r="AA61" s="5"/>
      <c r="AB61" s="5"/>
      <c r="AC61" s="5"/>
      <c r="AD61" s="5"/>
    </row>
    <row r="62" spans="1:30">
      <c r="A62" t="s">
        <v>716</v>
      </c>
      <c r="B62" s="352">
        <v>0</v>
      </c>
      <c r="C62" s="352" t="s">
        <v>356</v>
      </c>
      <c r="D62" s="356">
        <v>0</v>
      </c>
      <c r="E62" s="352" t="s">
        <v>657</v>
      </c>
      <c r="F62" s="353">
        <v>0</v>
      </c>
      <c r="G62" s="353" t="s">
        <v>356</v>
      </c>
      <c r="H62" s="357">
        <v>0</v>
      </c>
      <c r="I62" s="353" t="s">
        <v>405</v>
      </c>
      <c r="J62" s="5"/>
      <c r="K62" s="5"/>
      <c r="L62" s="5"/>
      <c r="M62" s="5"/>
      <c r="N62" s="5"/>
      <c r="O62" s="5"/>
      <c r="P62" s="5"/>
      <c r="Q62" s="5"/>
      <c r="R62" s="5"/>
      <c r="S62" s="5"/>
      <c r="T62" s="5"/>
      <c r="U62" s="5"/>
      <c r="V62" s="5"/>
      <c r="W62" s="5"/>
      <c r="X62" s="5"/>
      <c r="Y62" s="5"/>
      <c r="Z62" s="5"/>
      <c r="AA62" s="5"/>
      <c r="AB62" s="5"/>
      <c r="AC62" s="5"/>
      <c r="AD62" s="5"/>
    </row>
    <row r="63" spans="1:30">
      <c r="A63" t="s">
        <v>717</v>
      </c>
      <c r="B63" s="352">
        <v>0</v>
      </c>
      <c r="C63" s="352" t="s">
        <v>356</v>
      </c>
      <c r="D63" s="356">
        <v>0</v>
      </c>
      <c r="E63" s="352" t="s">
        <v>657</v>
      </c>
      <c r="F63" s="353">
        <v>0</v>
      </c>
      <c r="G63" s="353" t="s">
        <v>356</v>
      </c>
      <c r="H63" s="357">
        <v>0</v>
      </c>
      <c r="I63" s="353" t="s">
        <v>405</v>
      </c>
      <c r="J63" s="5"/>
      <c r="K63" s="5"/>
      <c r="L63" s="5"/>
      <c r="M63" s="5"/>
      <c r="N63" s="5"/>
      <c r="O63" s="5"/>
      <c r="P63" s="5"/>
      <c r="Q63" s="5"/>
      <c r="R63" s="5"/>
      <c r="S63" s="5"/>
      <c r="T63" s="5"/>
      <c r="U63" s="5"/>
      <c r="V63" s="5"/>
      <c r="W63" s="5"/>
      <c r="X63" s="5"/>
      <c r="Y63" s="5"/>
      <c r="Z63" s="5"/>
      <c r="AA63" s="5"/>
      <c r="AB63" s="5"/>
      <c r="AC63" s="5"/>
      <c r="AD63" s="5"/>
    </row>
    <row r="64" spans="1:30">
      <c r="A64" t="s">
        <v>718</v>
      </c>
      <c r="B64" s="352">
        <v>101</v>
      </c>
      <c r="C64" s="352" t="s">
        <v>436</v>
      </c>
      <c r="D64" s="356">
        <v>1.4999999999999999E-2</v>
      </c>
      <c r="E64" s="352" t="s">
        <v>394</v>
      </c>
      <c r="F64" s="353">
        <v>0</v>
      </c>
      <c r="G64" s="353" t="s">
        <v>356</v>
      </c>
      <c r="H64" s="357">
        <v>0</v>
      </c>
      <c r="I64" s="353" t="s">
        <v>405</v>
      </c>
      <c r="J64" s="5"/>
      <c r="K64" s="5"/>
      <c r="L64" s="5"/>
      <c r="M64" s="5"/>
      <c r="N64" s="5"/>
      <c r="O64" s="5"/>
      <c r="P64" s="5"/>
      <c r="Q64" s="5"/>
      <c r="R64" s="5"/>
      <c r="S64" s="5"/>
      <c r="T64" s="5"/>
      <c r="U64" s="5"/>
      <c r="V64" s="5"/>
      <c r="W64" s="5"/>
      <c r="X64" s="5"/>
      <c r="Y64" s="5"/>
      <c r="Z64" s="5"/>
      <c r="AA64" s="5"/>
      <c r="AB64" s="5"/>
      <c r="AC64" s="5"/>
      <c r="AD64" s="5"/>
    </row>
    <row r="65" spans="1:30">
      <c r="A65" t="s">
        <v>689</v>
      </c>
      <c r="B65" s="352">
        <v>897</v>
      </c>
      <c r="C65" s="352" t="s">
        <v>690</v>
      </c>
      <c r="D65" s="356">
        <v>0.13400000000000001</v>
      </c>
      <c r="E65" s="352" t="s">
        <v>434</v>
      </c>
      <c r="F65" s="353">
        <v>373</v>
      </c>
      <c r="G65" s="353" t="s">
        <v>476</v>
      </c>
      <c r="H65" s="357">
        <v>7.3999999999999996E-2</v>
      </c>
      <c r="I65" s="353" t="s">
        <v>414</v>
      </c>
      <c r="J65" s="5"/>
      <c r="K65" s="5"/>
      <c r="L65" s="5"/>
      <c r="M65" s="5"/>
      <c r="N65" s="5"/>
      <c r="O65" s="5"/>
      <c r="P65" s="5"/>
      <c r="Q65" s="5"/>
      <c r="R65" s="5"/>
      <c r="S65" s="5"/>
      <c r="T65" s="5"/>
      <c r="U65" s="5"/>
      <c r="V65" s="5"/>
      <c r="W65" s="5"/>
      <c r="X65" s="5"/>
      <c r="Y65" s="5"/>
      <c r="Z65" s="5"/>
      <c r="AA65" s="5"/>
      <c r="AB65" s="5"/>
      <c r="AC65" s="5"/>
      <c r="AD65" s="5"/>
    </row>
    <row r="66" spans="1:30">
      <c r="A66" t="s">
        <v>719</v>
      </c>
      <c r="B66" s="352">
        <v>247</v>
      </c>
      <c r="C66" s="352" t="s">
        <v>720</v>
      </c>
      <c r="D66" s="356">
        <v>3.6999999999999998E-2</v>
      </c>
      <c r="E66" s="352" t="s">
        <v>416</v>
      </c>
      <c r="F66" s="353">
        <v>28</v>
      </c>
      <c r="G66" s="353" t="s">
        <v>423</v>
      </c>
      <c r="H66" s="357">
        <v>6.0000000000000001E-3</v>
      </c>
      <c r="I66" s="353" t="s">
        <v>431</v>
      </c>
      <c r="J66" s="5"/>
      <c r="K66" s="5"/>
      <c r="L66" s="5"/>
      <c r="M66" s="5"/>
      <c r="N66" s="5"/>
      <c r="O66" s="5"/>
      <c r="P66" s="5"/>
      <c r="Q66" s="5"/>
      <c r="R66" s="5"/>
      <c r="S66" s="5"/>
      <c r="T66" s="5"/>
      <c r="U66" s="5"/>
      <c r="V66" s="5"/>
      <c r="W66" s="5"/>
      <c r="X66" s="5"/>
      <c r="Y66" s="5"/>
      <c r="Z66" s="5"/>
      <c r="AA66" s="5"/>
      <c r="AB66" s="5"/>
      <c r="AC66" s="5"/>
      <c r="AD66" s="5"/>
    </row>
    <row r="67" spans="1:30">
      <c r="A67" t="s">
        <v>721</v>
      </c>
      <c r="B67" s="352">
        <v>72</v>
      </c>
      <c r="C67" s="352" t="s">
        <v>415</v>
      </c>
      <c r="D67" s="356">
        <v>1.0999999999999999E-2</v>
      </c>
      <c r="E67" s="352" t="s">
        <v>418</v>
      </c>
      <c r="F67" s="353">
        <v>39</v>
      </c>
      <c r="G67" s="353" t="s">
        <v>425</v>
      </c>
      <c r="H67" s="357">
        <v>8.0000000000000002E-3</v>
      </c>
      <c r="I67" s="353" t="s">
        <v>656</v>
      </c>
      <c r="J67" s="5"/>
      <c r="K67" s="5"/>
      <c r="L67" s="5"/>
      <c r="M67" s="5"/>
      <c r="N67" s="5"/>
      <c r="O67" s="5"/>
      <c r="P67" s="5"/>
      <c r="Q67" s="5"/>
      <c r="R67" s="5"/>
      <c r="S67" s="5"/>
      <c r="T67" s="5"/>
      <c r="U67" s="5"/>
      <c r="V67" s="5"/>
      <c r="W67" s="5"/>
      <c r="X67" s="5"/>
      <c r="Y67" s="5"/>
      <c r="Z67" s="5"/>
      <c r="AA67" s="5"/>
      <c r="AB67" s="5"/>
      <c r="AC67" s="5"/>
      <c r="AD67" s="5"/>
    </row>
    <row r="68" spans="1:30">
      <c r="A68" t="s">
        <v>722</v>
      </c>
      <c r="B68" s="352">
        <v>60</v>
      </c>
      <c r="C68" s="352" t="s">
        <v>391</v>
      </c>
      <c r="D68" s="356">
        <v>8.9999999999999993E-3</v>
      </c>
      <c r="E68" s="352" t="s">
        <v>723</v>
      </c>
      <c r="F68" s="353">
        <v>0</v>
      </c>
      <c r="G68" s="353" t="s">
        <v>356</v>
      </c>
      <c r="H68" s="357">
        <v>0</v>
      </c>
      <c r="I68" s="353" t="s">
        <v>405</v>
      </c>
      <c r="J68" s="5"/>
      <c r="K68" s="5"/>
      <c r="L68" s="5"/>
      <c r="M68" s="5"/>
      <c r="N68" s="5"/>
      <c r="O68" s="5"/>
      <c r="P68" s="5"/>
      <c r="Q68" s="5"/>
      <c r="R68" s="5"/>
      <c r="S68" s="5"/>
      <c r="T68" s="5"/>
      <c r="U68" s="5"/>
      <c r="V68" s="5"/>
      <c r="W68" s="5"/>
      <c r="X68" s="5"/>
      <c r="Y68" s="5"/>
      <c r="Z68" s="5"/>
      <c r="AA68" s="5"/>
      <c r="AB68" s="5"/>
      <c r="AC68" s="5"/>
      <c r="AD68" s="5"/>
    </row>
    <row r="69" spans="1:30">
      <c r="A69" t="s">
        <v>724</v>
      </c>
      <c r="B69" s="352">
        <v>355</v>
      </c>
      <c r="C69" s="352" t="s">
        <v>725</v>
      </c>
      <c r="D69" s="356">
        <v>5.2999999999999999E-2</v>
      </c>
      <c r="E69" s="352" t="s">
        <v>396</v>
      </c>
      <c r="F69" s="353">
        <v>306</v>
      </c>
      <c r="G69" s="353" t="s">
        <v>726</v>
      </c>
      <c r="H69" s="357">
        <v>0.06</v>
      </c>
      <c r="I69" s="353" t="s">
        <v>408</v>
      </c>
      <c r="J69" s="5"/>
      <c r="K69" s="5"/>
      <c r="L69" s="5"/>
      <c r="M69" s="5"/>
      <c r="N69" s="5"/>
      <c r="O69" s="5"/>
      <c r="P69" s="5"/>
      <c r="Q69" s="5"/>
      <c r="R69" s="5"/>
      <c r="S69" s="5"/>
      <c r="T69" s="5"/>
      <c r="U69" s="5"/>
      <c r="V69" s="5"/>
      <c r="W69" s="5"/>
      <c r="X69" s="5"/>
      <c r="Y69" s="5"/>
      <c r="Z69" s="5"/>
      <c r="AA69" s="5"/>
      <c r="AB69" s="5"/>
      <c r="AC69" s="5"/>
      <c r="AD69" s="5"/>
    </row>
    <row r="70" spans="1:30">
      <c r="A70" t="s">
        <v>727</v>
      </c>
      <c r="B70" s="352">
        <v>15</v>
      </c>
      <c r="C70" s="352" t="s">
        <v>358</v>
      </c>
      <c r="D70" s="356">
        <v>2E-3</v>
      </c>
      <c r="E70" s="352" t="s">
        <v>728</v>
      </c>
      <c r="F70" s="353">
        <v>0</v>
      </c>
      <c r="G70" s="353" t="s">
        <v>356</v>
      </c>
      <c r="H70" s="357">
        <v>0</v>
      </c>
      <c r="I70" s="353" t="s">
        <v>405</v>
      </c>
      <c r="J70" s="5"/>
      <c r="K70" s="5"/>
      <c r="L70" s="5"/>
      <c r="M70" s="5"/>
      <c r="N70" s="5"/>
      <c r="O70" s="5"/>
      <c r="P70" s="5"/>
      <c r="Q70" s="5"/>
      <c r="R70" s="5"/>
      <c r="S70" s="5"/>
      <c r="T70" s="5"/>
      <c r="U70" s="5"/>
      <c r="V70" s="5"/>
      <c r="W70" s="5"/>
      <c r="X70" s="5"/>
      <c r="Y70" s="5"/>
      <c r="Z70" s="5"/>
      <c r="AA70" s="5"/>
      <c r="AB70" s="5"/>
      <c r="AC70" s="5"/>
      <c r="AD70" s="5"/>
    </row>
    <row r="71" spans="1:30">
      <c r="A71" t="s">
        <v>729</v>
      </c>
      <c r="B71" s="352">
        <v>0</v>
      </c>
      <c r="C71" s="352" t="s">
        <v>356</v>
      </c>
      <c r="D71" s="356">
        <v>0</v>
      </c>
      <c r="E71" s="352" t="s">
        <v>657</v>
      </c>
      <c r="F71" s="353">
        <v>0</v>
      </c>
      <c r="G71" s="353" t="s">
        <v>356</v>
      </c>
      <c r="H71" s="357">
        <v>0</v>
      </c>
      <c r="I71" s="353" t="s">
        <v>405</v>
      </c>
      <c r="J71" s="5"/>
      <c r="K71" s="5"/>
      <c r="L71" s="5"/>
      <c r="M71" s="5"/>
      <c r="N71" s="5"/>
      <c r="O71" s="5"/>
      <c r="P71" s="5"/>
      <c r="Q71" s="5"/>
      <c r="R71" s="5"/>
      <c r="S71" s="5"/>
      <c r="T71" s="5"/>
      <c r="U71" s="5"/>
      <c r="V71" s="5"/>
      <c r="W71" s="5"/>
      <c r="X71" s="5"/>
      <c r="Y71" s="5"/>
      <c r="Z71" s="5"/>
      <c r="AA71" s="5"/>
      <c r="AB71" s="5"/>
      <c r="AC71" s="5"/>
      <c r="AD71" s="5"/>
    </row>
    <row r="72" spans="1:30">
      <c r="A72" t="s">
        <v>730</v>
      </c>
      <c r="B72" s="352"/>
      <c r="C72" s="352"/>
      <c r="D72" s="352"/>
      <c r="E72" s="352"/>
      <c r="F72" s="353"/>
      <c r="G72" s="353"/>
      <c r="H72" s="353"/>
      <c r="I72" s="353"/>
      <c r="J72" s="5"/>
      <c r="K72" s="5"/>
      <c r="L72" s="5"/>
      <c r="M72" s="5"/>
      <c r="N72" s="5"/>
      <c r="O72" s="5"/>
      <c r="P72" s="5"/>
      <c r="Q72" s="5"/>
      <c r="R72" s="5"/>
      <c r="S72" s="5"/>
      <c r="T72" s="5"/>
      <c r="U72" s="5"/>
      <c r="V72" s="5"/>
      <c r="W72" s="5"/>
      <c r="X72" s="5"/>
      <c r="Y72" s="5"/>
      <c r="Z72" s="5"/>
      <c r="AA72" s="5"/>
      <c r="AB72" s="5"/>
      <c r="AC72" s="5"/>
      <c r="AD72" s="5"/>
    </row>
    <row r="73" spans="1:30">
      <c r="A73" t="s">
        <v>620</v>
      </c>
      <c r="B73" s="354">
        <v>6709</v>
      </c>
      <c r="C73" s="352" t="s">
        <v>621</v>
      </c>
      <c r="D73" s="354">
        <v>6709</v>
      </c>
      <c r="E73" s="352" t="s">
        <v>374</v>
      </c>
      <c r="F73" s="355">
        <v>5060</v>
      </c>
      <c r="G73" s="353" t="s">
        <v>622</v>
      </c>
      <c r="H73" s="355">
        <v>5060</v>
      </c>
      <c r="I73" s="353" t="s">
        <v>374</v>
      </c>
      <c r="J73" s="5"/>
      <c r="K73" s="5"/>
      <c r="L73" s="5"/>
      <c r="M73" s="5"/>
      <c r="N73" s="5"/>
      <c r="O73" s="5"/>
      <c r="P73" s="5"/>
      <c r="Q73" s="5"/>
      <c r="R73" s="5"/>
      <c r="S73" s="5"/>
      <c r="T73" s="5"/>
      <c r="U73" s="5"/>
      <c r="V73" s="5"/>
      <c r="W73" s="5"/>
      <c r="X73" s="5"/>
      <c r="Y73" s="5"/>
      <c r="Z73" s="5"/>
      <c r="AA73" s="5"/>
      <c r="AB73" s="5"/>
      <c r="AC73" s="5"/>
      <c r="AD73" s="5"/>
    </row>
    <row r="74" spans="1:30">
      <c r="A74" t="s">
        <v>731</v>
      </c>
      <c r="B74" s="354">
        <v>5822</v>
      </c>
      <c r="C74" s="352" t="s">
        <v>732</v>
      </c>
      <c r="D74" s="356">
        <v>0.86799999999999999</v>
      </c>
      <c r="E74" s="352" t="s">
        <v>386</v>
      </c>
      <c r="F74" s="355">
        <v>4834</v>
      </c>
      <c r="G74" s="353" t="s">
        <v>733</v>
      </c>
      <c r="H74" s="357">
        <v>0.95499999999999996</v>
      </c>
      <c r="I74" s="353" t="s">
        <v>388</v>
      </c>
      <c r="J74" s="5"/>
      <c r="K74" s="5"/>
      <c r="L74" s="5"/>
      <c r="M74" s="5"/>
      <c r="N74" s="5"/>
      <c r="O74" s="5"/>
      <c r="P74" s="5"/>
      <c r="Q74" s="5"/>
      <c r="R74" s="5"/>
      <c r="S74" s="5"/>
      <c r="T74" s="5"/>
      <c r="U74" s="5"/>
      <c r="V74" s="5"/>
      <c r="W74" s="5"/>
      <c r="X74" s="5"/>
      <c r="Y74" s="5"/>
      <c r="Z74" s="5"/>
      <c r="AA74" s="5"/>
      <c r="AB74" s="5"/>
      <c r="AC74" s="5"/>
      <c r="AD74" s="5"/>
    </row>
    <row r="75" spans="1:30">
      <c r="A75" t="s">
        <v>734</v>
      </c>
      <c r="B75" s="354">
        <v>1040</v>
      </c>
      <c r="C75" s="352" t="s">
        <v>735</v>
      </c>
      <c r="D75" s="356">
        <v>0.155</v>
      </c>
      <c r="E75" s="352" t="s">
        <v>414</v>
      </c>
      <c r="F75" s="353">
        <v>179</v>
      </c>
      <c r="G75" s="353" t="s">
        <v>736</v>
      </c>
      <c r="H75" s="357">
        <v>3.5000000000000003E-2</v>
      </c>
      <c r="I75" s="353" t="s">
        <v>388</v>
      </c>
      <c r="J75" s="5"/>
      <c r="K75" s="5"/>
      <c r="L75" s="5"/>
      <c r="M75" s="5"/>
      <c r="N75" s="5"/>
      <c r="O75" s="5"/>
      <c r="P75" s="5"/>
      <c r="Q75" s="5"/>
      <c r="R75" s="5"/>
      <c r="S75" s="5"/>
      <c r="T75" s="5"/>
      <c r="U75" s="5"/>
      <c r="V75" s="5"/>
      <c r="W75" s="5"/>
      <c r="X75" s="5"/>
      <c r="Y75" s="5"/>
      <c r="Z75" s="5"/>
      <c r="AA75" s="5"/>
      <c r="AB75" s="5"/>
      <c r="AC75" s="5"/>
      <c r="AD75" s="5"/>
    </row>
    <row r="76" spans="1:30">
      <c r="A76" t="s">
        <v>737</v>
      </c>
      <c r="B76" s="352">
        <v>235</v>
      </c>
      <c r="C76" s="352" t="s">
        <v>631</v>
      </c>
      <c r="D76" s="356">
        <v>3.5000000000000003E-2</v>
      </c>
      <c r="E76" s="352" t="s">
        <v>413</v>
      </c>
      <c r="F76" s="353">
        <v>39</v>
      </c>
      <c r="G76" s="353" t="s">
        <v>425</v>
      </c>
      <c r="H76" s="357">
        <v>8.0000000000000002E-3</v>
      </c>
      <c r="I76" s="353" t="s">
        <v>656</v>
      </c>
      <c r="J76" s="5"/>
      <c r="K76" s="5"/>
      <c r="L76" s="5"/>
      <c r="M76" s="5"/>
      <c r="N76" s="5"/>
      <c r="O76" s="5"/>
      <c r="P76" s="5"/>
      <c r="Q76" s="5"/>
      <c r="R76" s="5"/>
      <c r="S76" s="5"/>
      <c r="T76" s="5"/>
      <c r="U76" s="5"/>
      <c r="V76" s="5"/>
      <c r="W76" s="5"/>
      <c r="X76" s="5"/>
      <c r="Y76" s="5"/>
      <c r="Z76" s="5"/>
      <c r="AA76" s="5"/>
      <c r="AB76" s="5"/>
      <c r="AC76" s="5"/>
      <c r="AD76" s="5"/>
    </row>
    <row r="77" spans="1:30">
      <c r="A77" t="s">
        <v>738</v>
      </c>
      <c r="B77" s="352">
        <v>237</v>
      </c>
      <c r="C77" s="352" t="s">
        <v>739</v>
      </c>
      <c r="D77" s="356">
        <v>3.5000000000000003E-2</v>
      </c>
      <c r="E77" s="352" t="s">
        <v>392</v>
      </c>
      <c r="F77" s="353">
        <v>75</v>
      </c>
      <c r="G77" s="353" t="s">
        <v>410</v>
      </c>
      <c r="H77" s="357">
        <v>1.4999999999999999E-2</v>
      </c>
      <c r="I77" s="353" t="s">
        <v>384</v>
      </c>
      <c r="J77" s="5"/>
      <c r="K77" s="5"/>
      <c r="L77" s="5"/>
      <c r="M77" s="5"/>
      <c r="N77" s="5"/>
      <c r="O77" s="5"/>
      <c r="P77" s="5"/>
      <c r="Q77" s="5"/>
      <c r="R77" s="5"/>
      <c r="S77" s="5"/>
      <c r="T77" s="5"/>
      <c r="U77" s="5"/>
      <c r="V77" s="5"/>
      <c r="W77" s="5"/>
      <c r="X77" s="5"/>
      <c r="Y77" s="5"/>
      <c r="Z77" s="5"/>
      <c r="AA77" s="5"/>
      <c r="AB77" s="5"/>
      <c r="AC77" s="5"/>
      <c r="AD77" s="5"/>
    </row>
    <row r="78" spans="1:30">
      <c r="A78" t="s">
        <v>740</v>
      </c>
      <c r="B78" s="352">
        <v>0</v>
      </c>
      <c r="C78" s="352" t="s">
        <v>356</v>
      </c>
      <c r="D78" s="356">
        <v>0</v>
      </c>
      <c r="E78" s="352" t="s">
        <v>657</v>
      </c>
      <c r="F78" s="353">
        <v>0</v>
      </c>
      <c r="G78" s="353" t="s">
        <v>356</v>
      </c>
      <c r="H78" s="357">
        <v>0</v>
      </c>
      <c r="I78" s="353" t="s">
        <v>405</v>
      </c>
      <c r="J78" s="5"/>
      <c r="K78" s="5"/>
      <c r="L78" s="5"/>
      <c r="M78" s="5"/>
      <c r="N78" s="5"/>
      <c r="O78" s="5"/>
      <c r="P78" s="5"/>
      <c r="Q78" s="5"/>
      <c r="R78" s="5"/>
      <c r="S78" s="5"/>
      <c r="T78" s="5"/>
      <c r="U78" s="5"/>
      <c r="V78" s="5"/>
      <c r="W78" s="5"/>
      <c r="X78" s="5"/>
      <c r="Y78" s="5"/>
      <c r="Z78" s="5"/>
      <c r="AA78" s="5"/>
      <c r="AB78" s="5"/>
      <c r="AC78" s="5"/>
      <c r="AD78" s="5"/>
    </row>
    <row r="79" spans="1:30">
      <c r="A79" t="s">
        <v>741</v>
      </c>
      <c r="B79" s="352">
        <v>456</v>
      </c>
      <c r="C79" s="352" t="s">
        <v>742</v>
      </c>
      <c r="D79" s="356">
        <v>6.8000000000000005E-2</v>
      </c>
      <c r="E79" s="352" t="s">
        <v>385</v>
      </c>
      <c r="F79" s="353">
        <v>306</v>
      </c>
      <c r="G79" s="353" t="s">
        <v>726</v>
      </c>
      <c r="H79" s="357">
        <v>0.06</v>
      </c>
      <c r="I79" s="353" t="s">
        <v>408</v>
      </c>
      <c r="J79" s="5"/>
      <c r="K79" s="5"/>
      <c r="L79" s="5"/>
      <c r="M79" s="5"/>
      <c r="N79" s="5"/>
      <c r="O79" s="5"/>
      <c r="P79" s="5"/>
      <c r="Q79" s="5"/>
      <c r="R79" s="5"/>
      <c r="S79" s="5"/>
      <c r="T79" s="5"/>
      <c r="U79" s="5"/>
      <c r="V79" s="5"/>
      <c r="W79" s="5"/>
      <c r="X79" s="5"/>
      <c r="Y79" s="5"/>
      <c r="Z79" s="5"/>
      <c r="AA79" s="5"/>
      <c r="AB79" s="5"/>
      <c r="AC79" s="5"/>
      <c r="AD79" s="5"/>
    </row>
    <row r="80" spans="1:30">
      <c r="A80" t="s">
        <v>743</v>
      </c>
      <c r="B80" s="352"/>
      <c r="C80" s="352"/>
      <c r="D80" s="352"/>
      <c r="E80" s="352"/>
      <c r="F80" s="353"/>
      <c r="G80" s="353"/>
      <c r="H80" s="353"/>
      <c r="I80" s="353"/>
      <c r="J80" s="5"/>
      <c r="K80" s="5"/>
      <c r="L80" s="5"/>
      <c r="M80" s="5"/>
      <c r="N80" s="5"/>
      <c r="O80" s="5"/>
      <c r="P80" s="5"/>
      <c r="Q80" s="5"/>
      <c r="R80" s="5"/>
      <c r="S80" s="5"/>
      <c r="T80" s="5"/>
      <c r="U80" s="5"/>
      <c r="V80" s="5"/>
      <c r="W80" s="5"/>
      <c r="X80" s="5"/>
      <c r="Y80" s="5"/>
      <c r="Z80" s="5"/>
      <c r="AA80" s="5"/>
      <c r="AB80" s="5"/>
      <c r="AC80" s="5"/>
      <c r="AD80" s="5"/>
    </row>
    <row r="81" spans="1:30">
      <c r="A81" t="s">
        <v>620</v>
      </c>
      <c r="B81" s="354">
        <v>6709</v>
      </c>
      <c r="C81" s="352" t="s">
        <v>621</v>
      </c>
      <c r="D81" s="354">
        <v>6709</v>
      </c>
      <c r="E81" s="352" t="s">
        <v>374</v>
      </c>
      <c r="F81" s="355">
        <v>5060</v>
      </c>
      <c r="G81" s="353" t="s">
        <v>622</v>
      </c>
      <c r="H81" s="355">
        <v>5060</v>
      </c>
      <c r="I81" s="353" t="s">
        <v>374</v>
      </c>
      <c r="J81" s="5"/>
      <c r="K81" s="5"/>
      <c r="L81" s="5"/>
      <c r="M81" s="5"/>
      <c r="N81" s="5"/>
      <c r="O81" s="5"/>
      <c r="P81" s="5"/>
      <c r="Q81" s="5"/>
      <c r="R81" s="5"/>
      <c r="S81" s="5"/>
      <c r="T81" s="5"/>
      <c r="U81" s="5"/>
      <c r="V81" s="5"/>
      <c r="W81" s="5"/>
      <c r="X81" s="5"/>
      <c r="Y81" s="5"/>
      <c r="Z81" s="5"/>
      <c r="AA81" s="5"/>
      <c r="AB81" s="5"/>
      <c r="AC81" s="5"/>
      <c r="AD81" s="5"/>
    </row>
    <row r="82" spans="1:30">
      <c r="A82" t="s">
        <v>744</v>
      </c>
      <c r="B82" s="352">
        <v>211</v>
      </c>
      <c r="C82" s="352" t="s">
        <v>745</v>
      </c>
      <c r="D82" s="356">
        <v>3.1E-2</v>
      </c>
      <c r="E82" s="352" t="s">
        <v>387</v>
      </c>
      <c r="F82" s="353">
        <v>384</v>
      </c>
      <c r="G82" s="353" t="s">
        <v>746</v>
      </c>
      <c r="H82" s="357">
        <v>7.5999999999999998E-2</v>
      </c>
      <c r="I82" s="353" t="s">
        <v>397</v>
      </c>
      <c r="J82" s="5"/>
      <c r="K82" s="5"/>
      <c r="L82" s="5"/>
      <c r="M82" s="5"/>
      <c r="N82" s="5"/>
      <c r="O82" s="5"/>
      <c r="P82" s="5"/>
      <c r="Q82" s="5"/>
      <c r="R82" s="5"/>
      <c r="S82" s="5"/>
      <c r="T82" s="5"/>
      <c r="U82" s="5"/>
      <c r="V82" s="5"/>
      <c r="W82" s="5"/>
      <c r="X82" s="5"/>
      <c r="Y82" s="5"/>
      <c r="Z82" s="5"/>
      <c r="AA82" s="5"/>
      <c r="AB82" s="5"/>
      <c r="AC82" s="5"/>
      <c r="AD82" s="5"/>
    </row>
    <row r="83" spans="1:30">
      <c r="A83" t="s">
        <v>747</v>
      </c>
      <c r="B83" s="352">
        <v>77</v>
      </c>
      <c r="C83" s="352" t="s">
        <v>443</v>
      </c>
      <c r="D83" s="356">
        <v>1.0999999999999999E-2</v>
      </c>
      <c r="E83" s="352" t="s">
        <v>412</v>
      </c>
      <c r="F83" s="353">
        <v>135</v>
      </c>
      <c r="G83" s="353" t="s">
        <v>745</v>
      </c>
      <c r="H83" s="357">
        <v>2.7E-2</v>
      </c>
      <c r="I83" s="353" t="s">
        <v>377</v>
      </c>
      <c r="J83" s="5"/>
      <c r="K83" s="5"/>
      <c r="L83" s="5"/>
      <c r="M83" s="5"/>
      <c r="N83" s="5"/>
      <c r="O83" s="5"/>
      <c r="P83" s="5"/>
      <c r="Q83" s="5"/>
      <c r="R83" s="5"/>
      <c r="S83" s="5"/>
      <c r="T83" s="5"/>
      <c r="U83" s="5"/>
      <c r="V83" s="5"/>
      <c r="W83" s="5"/>
      <c r="X83" s="5"/>
      <c r="Y83" s="5"/>
      <c r="Z83" s="5"/>
      <c r="AA83" s="5"/>
      <c r="AB83" s="5"/>
      <c r="AC83" s="5"/>
      <c r="AD83" s="5"/>
    </row>
    <row r="84" spans="1:30">
      <c r="A84" t="s">
        <v>748</v>
      </c>
      <c r="B84" s="352">
        <v>48</v>
      </c>
      <c r="C84" s="352" t="s">
        <v>357</v>
      </c>
      <c r="D84" s="356">
        <v>7.0000000000000001E-3</v>
      </c>
      <c r="E84" s="352" t="s">
        <v>657</v>
      </c>
      <c r="F84" s="353">
        <v>69</v>
      </c>
      <c r="G84" s="353" t="s">
        <v>409</v>
      </c>
      <c r="H84" s="357">
        <v>1.4E-2</v>
      </c>
      <c r="I84" s="353" t="s">
        <v>387</v>
      </c>
      <c r="J84" s="5"/>
      <c r="K84" s="5"/>
      <c r="L84" s="5"/>
      <c r="M84" s="5"/>
      <c r="N84" s="5"/>
      <c r="O84" s="5"/>
      <c r="P84" s="5"/>
      <c r="Q84" s="5"/>
      <c r="R84" s="5"/>
      <c r="S84" s="5"/>
      <c r="T84" s="5"/>
      <c r="U84" s="5"/>
      <c r="V84" s="5"/>
      <c r="W84" s="5"/>
      <c r="X84" s="5"/>
      <c r="Y84" s="5"/>
      <c r="Z84" s="5"/>
      <c r="AA84" s="5"/>
      <c r="AB84" s="5"/>
      <c r="AC84" s="5"/>
      <c r="AD84" s="5"/>
    </row>
    <row r="85" spans="1:30">
      <c r="A85" t="s">
        <v>749</v>
      </c>
      <c r="B85" s="352">
        <v>0</v>
      </c>
      <c r="C85" s="352" t="s">
        <v>356</v>
      </c>
      <c r="D85" s="356">
        <v>0</v>
      </c>
      <c r="E85" s="352" t="s">
        <v>657</v>
      </c>
      <c r="F85" s="353">
        <v>0</v>
      </c>
      <c r="G85" s="353" t="s">
        <v>356</v>
      </c>
      <c r="H85" s="357">
        <v>0</v>
      </c>
      <c r="I85" s="353" t="s">
        <v>405</v>
      </c>
      <c r="J85" s="5"/>
      <c r="K85" s="5"/>
      <c r="L85" s="5"/>
      <c r="M85" s="5"/>
      <c r="N85" s="5"/>
      <c r="O85" s="5"/>
      <c r="P85" s="5"/>
      <c r="Q85" s="5"/>
      <c r="R85" s="5"/>
      <c r="S85" s="5"/>
      <c r="T85" s="5"/>
      <c r="U85" s="5"/>
      <c r="V85" s="5"/>
      <c r="W85" s="5"/>
      <c r="X85" s="5"/>
      <c r="Y85" s="5"/>
      <c r="Z85" s="5"/>
      <c r="AA85" s="5"/>
      <c r="AB85" s="5"/>
      <c r="AC85" s="5"/>
      <c r="AD85" s="5"/>
    </row>
    <row r="86" spans="1:30">
      <c r="A86" t="s">
        <v>750</v>
      </c>
      <c r="B86" s="352">
        <v>86</v>
      </c>
      <c r="C86" s="352" t="s">
        <v>353</v>
      </c>
      <c r="D86" s="356">
        <v>1.2999999999999999E-2</v>
      </c>
      <c r="E86" s="352" t="s">
        <v>384</v>
      </c>
      <c r="F86" s="353">
        <v>180</v>
      </c>
      <c r="G86" s="353" t="s">
        <v>428</v>
      </c>
      <c r="H86" s="357">
        <v>3.5999999999999997E-2</v>
      </c>
      <c r="I86" s="353" t="s">
        <v>380</v>
      </c>
      <c r="J86" s="5"/>
      <c r="K86" s="5"/>
      <c r="L86" s="5"/>
      <c r="M86" s="5"/>
      <c r="N86" s="5"/>
      <c r="O86" s="5"/>
      <c r="P86" s="5"/>
      <c r="Q86" s="5"/>
      <c r="R86" s="5"/>
      <c r="S86" s="5"/>
      <c r="T86" s="5"/>
      <c r="U86" s="5"/>
      <c r="V86" s="5"/>
      <c r="W86" s="5"/>
      <c r="X86" s="5"/>
      <c r="Y86" s="5"/>
      <c r="Z86" s="5"/>
      <c r="AA86" s="5"/>
      <c r="AB86" s="5"/>
      <c r="AC86" s="5"/>
      <c r="AD86" s="5"/>
    </row>
    <row r="87" spans="1:30">
      <c r="A87" t="s">
        <v>751</v>
      </c>
      <c r="B87" s="354">
        <v>6498</v>
      </c>
      <c r="C87" s="352" t="s">
        <v>752</v>
      </c>
      <c r="D87" s="356">
        <v>0.96899999999999997</v>
      </c>
      <c r="E87" s="352" t="s">
        <v>387</v>
      </c>
      <c r="F87" s="355">
        <v>4676</v>
      </c>
      <c r="G87" s="353" t="s">
        <v>475</v>
      </c>
      <c r="H87" s="357">
        <v>0.92400000000000004</v>
      </c>
      <c r="I87" s="353" t="s">
        <v>397</v>
      </c>
      <c r="J87" s="5"/>
      <c r="K87" s="5"/>
      <c r="L87" s="5"/>
      <c r="M87" s="5"/>
      <c r="N87" s="5"/>
      <c r="O87" s="5"/>
      <c r="P87" s="5"/>
      <c r="Q87" s="5"/>
      <c r="R87" s="5"/>
      <c r="S87" s="5"/>
      <c r="T87" s="5"/>
      <c r="U87" s="5"/>
      <c r="V87" s="5"/>
      <c r="W87" s="5"/>
      <c r="X87" s="5"/>
      <c r="Y87" s="5"/>
      <c r="Z87" s="5"/>
      <c r="AA87" s="5"/>
      <c r="AB87" s="5"/>
      <c r="AC87" s="5"/>
      <c r="AD87" s="5"/>
    </row>
    <row r="88" spans="1:30">
      <c r="A88" t="s">
        <v>753</v>
      </c>
      <c r="B88" s="354">
        <v>4896</v>
      </c>
      <c r="C88" s="352" t="s">
        <v>754</v>
      </c>
      <c r="D88" s="356">
        <v>0.73</v>
      </c>
      <c r="E88" s="352" t="s">
        <v>438</v>
      </c>
      <c r="F88" s="355">
        <v>4297</v>
      </c>
      <c r="G88" s="353" t="s">
        <v>755</v>
      </c>
      <c r="H88" s="357">
        <v>0.84899999999999998</v>
      </c>
      <c r="I88" s="353" t="s">
        <v>433</v>
      </c>
      <c r="J88" s="5"/>
      <c r="K88" s="5"/>
      <c r="L88" s="5"/>
      <c r="M88" s="5"/>
      <c r="N88" s="5"/>
      <c r="O88" s="5"/>
      <c r="P88" s="5"/>
      <c r="Q88" s="5"/>
      <c r="R88" s="5"/>
      <c r="S88" s="5"/>
      <c r="T88" s="5"/>
      <c r="U88" s="5"/>
      <c r="V88" s="5"/>
      <c r="W88" s="5"/>
      <c r="X88" s="5"/>
      <c r="Y88" s="5"/>
      <c r="Z88" s="5"/>
      <c r="AA88" s="5"/>
      <c r="AB88" s="5"/>
      <c r="AC88" s="5"/>
      <c r="AD88" s="5"/>
    </row>
    <row r="89" spans="1:30">
      <c r="A89" t="s">
        <v>756</v>
      </c>
      <c r="B89" s="352">
        <v>612</v>
      </c>
      <c r="C89" s="352" t="s">
        <v>757</v>
      </c>
      <c r="D89" s="356">
        <v>9.0999999999999998E-2</v>
      </c>
      <c r="E89" s="352" t="s">
        <v>388</v>
      </c>
      <c r="F89" s="353">
        <v>151</v>
      </c>
      <c r="G89" s="353" t="s">
        <v>696</v>
      </c>
      <c r="H89" s="357">
        <v>0.03</v>
      </c>
      <c r="I89" s="353" t="s">
        <v>386</v>
      </c>
      <c r="J89" s="5"/>
      <c r="K89" s="5"/>
      <c r="L89" s="5"/>
      <c r="M89" s="5"/>
      <c r="N89" s="5"/>
      <c r="O89" s="5"/>
      <c r="P89" s="5"/>
      <c r="Q89" s="5"/>
      <c r="R89" s="5"/>
      <c r="S89" s="5"/>
      <c r="T89" s="5"/>
      <c r="U89" s="5"/>
      <c r="V89" s="5"/>
      <c r="W89" s="5"/>
      <c r="X89" s="5"/>
      <c r="Y89" s="5"/>
      <c r="Z89" s="5"/>
      <c r="AA89" s="5"/>
      <c r="AB89" s="5"/>
      <c r="AC89" s="5"/>
      <c r="AD89" s="5"/>
    </row>
    <row r="90" spans="1:30">
      <c r="A90" t="s">
        <v>758</v>
      </c>
      <c r="B90" s="352">
        <v>0</v>
      </c>
      <c r="C90" s="352" t="s">
        <v>356</v>
      </c>
      <c r="D90" s="356">
        <v>0</v>
      </c>
      <c r="E90" s="352" t="s">
        <v>657</v>
      </c>
      <c r="F90" s="353">
        <v>0</v>
      </c>
      <c r="G90" s="353" t="s">
        <v>356</v>
      </c>
      <c r="H90" s="357">
        <v>0</v>
      </c>
      <c r="I90" s="353" t="s">
        <v>405</v>
      </c>
      <c r="J90" s="5"/>
      <c r="K90" s="5"/>
      <c r="L90" s="5"/>
      <c r="M90" s="5"/>
      <c r="N90" s="5"/>
      <c r="O90" s="5"/>
      <c r="P90" s="5"/>
      <c r="Q90" s="5"/>
      <c r="R90" s="5"/>
      <c r="S90" s="5"/>
      <c r="T90" s="5"/>
      <c r="U90" s="5"/>
      <c r="V90" s="5"/>
      <c r="W90" s="5"/>
      <c r="X90" s="5"/>
      <c r="Y90" s="5"/>
      <c r="Z90" s="5"/>
      <c r="AA90" s="5"/>
      <c r="AB90" s="5"/>
      <c r="AC90" s="5"/>
      <c r="AD90" s="5"/>
    </row>
    <row r="91" spans="1:30">
      <c r="A91" t="s">
        <v>759</v>
      </c>
      <c r="B91" s="352">
        <v>119</v>
      </c>
      <c r="C91" s="352" t="s">
        <v>444</v>
      </c>
      <c r="D91" s="356">
        <v>1.7999999999999999E-2</v>
      </c>
      <c r="E91" s="352" t="s">
        <v>432</v>
      </c>
      <c r="F91" s="353">
        <v>75</v>
      </c>
      <c r="G91" s="353" t="s">
        <v>410</v>
      </c>
      <c r="H91" s="357">
        <v>1.4999999999999999E-2</v>
      </c>
      <c r="I91" s="353" t="s">
        <v>384</v>
      </c>
      <c r="J91" s="5"/>
      <c r="K91" s="5"/>
      <c r="L91" s="5"/>
      <c r="M91" s="5"/>
      <c r="N91" s="5"/>
      <c r="O91" s="5"/>
      <c r="P91" s="5"/>
      <c r="Q91" s="5"/>
      <c r="R91" s="5"/>
      <c r="S91" s="5"/>
      <c r="T91" s="5"/>
      <c r="U91" s="5"/>
      <c r="V91" s="5"/>
      <c r="W91" s="5"/>
      <c r="X91" s="5"/>
      <c r="Y91" s="5"/>
      <c r="Z91" s="5"/>
      <c r="AA91" s="5"/>
      <c r="AB91" s="5"/>
      <c r="AC91" s="5"/>
      <c r="AD91" s="5"/>
    </row>
    <row r="92" spans="1:30">
      <c r="A92" t="s">
        <v>760</v>
      </c>
      <c r="B92" s="352">
        <v>0</v>
      </c>
      <c r="C92" s="352" t="s">
        <v>356</v>
      </c>
      <c r="D92" s="356">
        <v>0</v>
      </c>
      <c r="E92" s="352" t="s">
        <v>657</v>
      </c>
      <c r="F92" s="353">
        <v>0</v>
      </c>
      <c r="G92" s="353" t="s">
        <v>356</v>
      </c>
      <c r="H92" s="357">
        <v>0</v>
      </c>
      <c r="I92" s="353" t="s">
        <v>405</v>
      </c>
      <c r="J92" s="5"/>
      <c r="K92" s="5"/>
      <c r="L92" s="5"/>
      <c r="M92" s="5"/>
      <c r="N92" s="5"/>
      <c r="O92" s="5"/>
      <c r="P92" s="5"/>
      <c r="Q92" s="5"/>
      <c r="R92" s="5"/>
      <c r="S92" s="5"/>
      <c r="T92" s="5"/>
      <c r="U92" s="5"/>
      <c r="V92" s="5"/>
      <c r="W92" s="5"/>
      <c r="X92" s="5"/>
      <c r="Y92" s="5"/>
      <c r="Z92" s="5"/>
      <c r="AA92" s="5"/>
      <c r="AB92" s="5"/>
      <c r="AC92" s="5"/>
      <c r="AD92" s="5"/>
    </row>
    <row r="93" spans="1:30">
      <c r="A93" t="s">
        <v>761</v>
      </c>
      <c r="B93" s="352">
        <v>101</v>
      </c>
      <c r="C93" s="352" t="s">
        <v>436</v>
      </c>
      <c r="D93" s="356">
        <v>1.4999999999999999E-2</v>
      </c>
      <c r="E93" s="352" t="s">
        <v>394</v>
      </c>
      <c r="F93" s="353">
        <v>0</v>
      </c>
      <c r="G93" s="353" t="s">
        <v>356</v>
      </c>
      <c r="H93" s="357">
        <v>0</v>
      </c>
      <c r="I93" s="353" t="s">
        <v>405</v>
      </c>
      <c r="J93" s="5"/>
      <c r="K93" s="5"/>
      <c r="L93" s="5"/>
      <c r="M93" s="5"/>
      <c r="N93" s="5"/>
      <c r="O93" s="5"/>
      <c r="P93" s="5"/>
      <c r="Q93" s="5"/>
      <c r="R93" s="5"/>
      <c r="S93" s="5"/>
      <c r="T93" s="5"/>
      <c r="U93" s="5"/>
      <c r="V93" s="5"/>
      <c r="W93" s="5"/>
      <c r="X93" s="5"/>
      <c r="Y93" s="5"/>
      <c r="Z93" s="5"/>
      <c r="AA93" s="5"/>
      <c r="AB93" s="5"/>
      <c r="AC93" s="5"/>
      <c r="AD93" s="5"/>
    </row>
    <row r="94" spans="1:30">
      <c r="A94" t="s">
        <v>762</v>
      </c>
      <c r="B94" s="352">
        <v>770</v>
      </c>
      <c r="C94" s="352" t="s">
        <v>763</v>
      </c>
      <c r="D94" s="356">
        <v>0.115</v>
      </c>
      <c r="E94" s="352" t="s">
        <v>427</v>
      </c>
      <c r="F94" s="353">
        <v>153</v>
      </c>
      <c r="G94" s="353" t="s">
        <v>764</v>
      </c>
      <c r="H94" s="357">
        <v>0.03</v>
      </c>
      <c r="I94" s="353" t="s">
        <v>398</v>
      </c>
      <c r="J94" s="5"/>
      <c r="K94" s="5"/>
      <c r="L94" s="5"/>
      <c r="M94" s="5"/>
      <c r="N94" s="5"/>
      <c r="O94" s="5"/>
      <c r="P94" s="5"/>
      <c r="Q94" s="5"/>
      <c r="R94" s="5"/>
      <c r="S94" s="5"/>
      <c r="T94" s="5"/>
      <c r="U94" s="5"/>
      <c r="V94" s="5"/>
      <c r="W94" s="5"/>
      <c r="X94" s="5"/>
      <c r="Y94" s="5"/>
      <c r="Z94" s="5"/>
      <c r="AA94" s="5"/>
      <c r="AB94" s="5"/>
      <c r="AC94" s="5"/>
      <c r="AD94" s="5"/>
    </row>
    <row r="95" spans="1:30">
      <c r="A95" t="s">
        <v>765</v>
      </c>
      <c r="B95" s="352">
        <v>271</v>
      </c>
      <c r="C95" s="352" t="s">
        <v>766</v>
      </c>
      <c r="D95" s="356">
        <v>0.04</v>
      </c>
      <c r="E95" s="352" t="s">
        <v>396</v>
      </c>
      <c r="F95" s="353">
        <v>86</v>
      </c>
      <c r="G95" s="353" t="s">
        <v>767</v>
      </c>
      <c r="H95" s="357">
        <v>1.7000000000000001E-2</v>
      </c>
      <c r="I95" s="353" t="s">
        <v>413</v>
      </c>
      <c r="J95" s="5"/>
      <c r="K95" s="5"/>
      <c r="L95" s="5"/>
      <c r="M95" s="5"/>
      <c r="N95" s="5"/>
      <c r="O95" s="5"/>
      <c r="P95" s="5"/>
      <c r="Q95" s="5"/>
      <c r="R95" s="5"/>
      <c r="S95" s="5"/>
      <c r="T95" s="5"/>
      <c r="U95" s="5"/>
      <c r="V95" s="5"/>
      <c r="W95" s="5"/>
      <c r="X95" s="5"/>
      <c r="Y95" s="5"/>
      <c r="Z95" s="5"/>
      <c r="AA95" s="5"/>
      <c r="AB95" s="5"/>
      <c r="AC95" s="5"/>
      <c r="AD95" s="5"/>
    </row>
    <row r="96" spans="1:30">
      <c r="A96" t="s">
        <v>768</v>
      </c>
      <c r="B96" s="352">
        <v>499</v>
      </c>
      <c r="C96" s="352" t="s">
        <v>736</v>
      </c>
      <c r="D96" s="356">
        <v>7.3999999999999996E-2</v>
      </c>
      <c r="E96" s="352" t="s">
        <v>390</v>
      </c>
      <c r="F96" s="353">
        <v>67</v>
      </c>
      <c r="G96" s="353" t="s">
        <v>410</v>
      </c>
      <c r="H96" s="357">
        <v>1.2999999999999999E-2</v>
      </c>
      <c r="I96" s="353" t="s">
        <v>402</v>
      </c>
    </row>
    <row r="97" spans="1:9">
      <c r="A97" t="s">
        <v>769</v>
      </c>
      <c r="B97" s="354">
        <v>3465</v>
      </c>
      <c r="C97" s="352" t="s">
        <v>770</v>
      </c>
      <c r="D97" s="352" t="s">
        <v>374</v>
      </c>
      <c r="E97" s="352" t="s">
        <v>374</v>
      </c>
      <c r="F97" s="355">
        <v>2322</v>
      </c>
      <c r="G97" s="353" t="s">
        <v>771</v>
      </c>
      <c r="H97" s="353" t="s">
        <v>374</v>
      </c>
      <c r="I97" s="353" t="s">
        <v>374</v>
      </c>
    </row>
    <row r="98" spans="1:9">
      <c r="A98" t="s">
        <v>772</v>
      </c>
      <c r="B98" s="352"/>
      <c r="C98" s="352"/>
      <c r="D98" s="352"/>
      <c r="E98" s="352"/>
      <c r="F98" s="353"/>
      <c r="G98" s="353"/>
      <c r="H98" s="353"/>
      <c r="I98" s="353"/>
    </row>
    <row r="99" spans="1:9">
      <c r="A99" t="s">
        <v>773</v>
      </c>
      <c r="B99" s="354">
        <v>5376</v>
      </c>
      <c r="C99" s="352" t="s">
        <v>774</v>
      </c>
      <c r="D99" s="354">
        <v>5376</v>
      </c>
      <c r="E99" s="352" t="s">
        <v>374</v>
      </c>
      <c r="F99" s="355">
        <v>3975</v>
      </c>
      <c r="G99" s="353" t="s">
        <v>775</v>
      </c>
      <c r="H99" s="355">
        <v>3975</v>
      </c>
      <c r="I99" s="353" t="s">
        <v>374</v>
      </c>
    </row>
    <row r="100" spans="1:9">
      <c r="A100" t="s">
        <v>623</v>
      </c>
      <c r="B100" s="354">
        <v>2462</v>
      </c>
      <c r="C100" s="352" t="s">
        <v>776</v>
      </c>
      <c r="D100" s="356">
        <v>0.45800000000000002</v>
      </c>
      <c r="E100" s="352" t="s">
        <v>435</v>
      </c>
      <c r="F100" s="355">
        <v>1916</v>
      </c>
      <c r="G100" s="353" t="s">
        <v>777</v>
      </c>
      <c r="H100" s="357">
        <v>0.48199999999999998</v>
      </c>
      <c r="I100" s="353" t="s">
        <v>397</v>
      </c>
    </row>
    <row r="101" spans="1:9">
      <c r="A101" t="s">
        <v>626</v>
      </c>
      <c r="B101" s="354">
        <v>2914</v>
      </c>
      <c r="C101" s="352" t="s">
        <v>778</v>
      </c>
      <c r="D101" s="356">
        <v>0.54200000000000004</v>
      </c>
      <c r="E101" s="352" t="s">
        <v>435</v>
      </c>
      <c r="F101" s="355">
        <v>2059</v>
      </c>
      <c r="G101" s="353" t="s">
        <v>678</v>
      </c>
      <c r="H101" s="357">
        <v>0.51800000000000002</v>
      </c>
      <c r="I101" s="353" t="s">
        <v>397</v>
      </c>
    </row>
    <row r="105" spans="1:9">
      <c r="A105" t="s">
        <v>779</v>
      </c>
      <c r="B105">
        <f>(B24+F24-B27-F27)/(B4+F4)</f>
        <v>0.64933299345738804</v>
      </c>
    </row>
  </sheetData>
  <mergeCells count="2">
    <mergeCell ref="B1:E1"/>
    <mergeCell ref="F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election activeCell="E239" sqref="E239"/>
    </sheetView>
  </sheetViews>
  <sheetFormatPr defaultRowHeight="1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c r="A1" s="56" t="s">
        <v>29</v>
      </c>
      <c r="B1" s="57"/>
      <c r="C1" s="57"/>
      <c r="D1" s="57"/>
      <c r="E1" s="71"/>
      <c r="F1" s="71"/>
    </row>
    <row r="2" spans="1:6">
      <c r="A2" s="151" t="s">
        <v>30</v>
      </c>
      <c r="B2" s="151"/>
      <c r="C2" s="151"/>
      <c r="D2" s="151"/>
      <c r="E2" s="151"/>
      <c r="F2" s="60"/>
    </row>
    <row r="3" spans="1:6">
      <c r="A3" s="61" t="s">
        <v>31</v>
      </c>
      <c r="F3" s="60"/>
    </row>
    <row r="4" spans="1:6">
      <c r="A4" s="62" t="s">
        <v>20</v>
      </c>
      <c r="F4" s="60"/>
    </row>
    <row r="5" spans="1:6">
      <c r="A5" s="63" t="s">
        <v>32</v>
      </c>
      <c r="B5" s="64"/>
      <c r="C5" s="64"/>
      <c r="D5" s="64"/>
      <c r="E5" s="64"/>
      <c r="F5" s="60"/>
    </row>
    <row r="6" spans="1:6" ht="17.25" customHeight="1">
      <c r="A6" s="66" t="s">
        <v>33</v>
      </c>
      <c r="B6" s="66" t="s">
        <v>34</v>
      </c>
      <c r="C6" s="64"/>
      <c r="D6" s="64"/>
      <c r="E6" s="64"/>
      <c r="F6" s="60"/>
    </row>
    <row r="7" spans="1:6">
      <c r="A7" s="67" t="s">
        <v>35</v>
      </c>
      <c r="B7" s="68">
        <v>5300</v>
      </c>
      <c r="C7" s="64"/>
      <c r="D7" s="64"/>
      <c r="E7" s="64"/>
      <c r="F7" s="60"/>
    </row>
    <row r="8" spans="1:6">
      <c r="A8" s="67" t="s">
        <v>36</v>
      </c>
      <c r="B8" s="68">
        <v>118000</v>
      </c>
      <c r="C8" s="64"/>
      <c r="D8" s="64"/>
      <c r="E8" s="64"/>
      <c r="F8" s="60"/>
    </row>
    <row r="9" spans="1:6">
      <c r="A9" s="67" t="s">
        <v>37</v>
      </c>
      <c r="B9" s="68">
        <v>246900</v>
      </c>
      <c r="C9" s="64"/>
      <c r="D9" s="64"/>
      <c r="E9" s="64"/>
      <c r="F9" s="60"/>
    </row>
    <row r="10" spans="1:6">
      <c r="A10" s="67" t="s">
        <v>38</v>
      </c>
      <c r="B10" s="68">
        <v>1254700</v>
      </c>
      <c r="C10" s="64"/>
      <c r="D10" s="64"/>
      <c r="E10" s="64"/>
      <c r="F10" s="60"/>
    </row>
    <row r="11" spans="1:6">
      <c r="A11" s="67" t="s">
        <v>39</v>
      </c>
      <c r="B11" s="68">
        <v>13200000</v>
      </c>
      <c r="C11" s="64"/>
      <c r="D11" s="64"/>
      <c r="E11" s="64"/>
      <c r="F11" s="60"/>
    </row>
    <row r="12" spans="1:6">
      <c r="A12" s="67" t="s">
        <v>40</v>
      </c>
      <c r="B12" s="68">
        <v>229800</v>
      </c>
      <c r="C12" s="64"/>
      <c r="D12" s="64"/>
      <c r="E12" s="64"/>
      <c r="F12" s="60"/>
    </row>
    <row r="13" spans="1:6">
      <c r="A13" s="63" t="s">
        <v>41</v>
      </c>
      <c r="B13" s="64"/>
      <c r="C13" s="64"/>
      <c r="D13" s="64"/>
      <c r="E13" s="64"/>
      <c r="F13" s="60"/>
    </row>
    <row r="14" spans="1:6">
      <c r="A14" s="66" t="s">
        <v>42</v>
      </c>
      <c r="B14" s="66" t="s">
        <v>34</v>
      </c>
      <c r="C14" s="64"/>
      <c r="D14" s="64"/>
      <c r="E14" s="64"/>
      <c r="F14" s="60"/>
    </row>
    <row r="15" spans="1:6">
      <c r="A15" s="67" t="s">
        <v>43</v>
      </c>
      <c r="B15" s="68">
        <v>9500</v>
      </c>
      <c r="C15" s="64"/>
      <c r="D15" s="64"/>
      <c r="E15" s="64"/>
      <c r="F15" s="60"/>
    </row>
    <row r="16" spans="1:6">
      <c r="A16" s="67" t="s">
        <v>44</v>
      </c>
      <c r="B16" s="68">
        <v>329500</v>
      </c>
      <c r="C16" s="64"/>
      <c r="D16" s="64"/>
      <c r="E16" s="64"/>
      <c r="F16" s="60"/>
    </row>
    <row r="17" spans="1:6">
      <c r="A17" s="67" t="s">
        <v>45</v>
      </c>
      <c r="B17" s="68">
        <v>14806000</v>
      </c>
      <c r="C17" s="64"/>
      <c r="D17" s="64"/>
      <c r="E17" s="64"/>
      <c r="F17" s="60"/>
    </row>
    <row r="18" spans="1:6">
      <c r="A18" s="65" t="s">
        <v>20</v>
      </c>
      <c r="B18" s="64"/>
      <c r="C18" s="64"/>
      <c r="D18" s="64"/>
      <c r="E18" s="64"/>
      <c r="F18" s="60"/>
    </row>
    <row r="19" spans="1:6">
      <c r="A19" s="63" t="s">
        <v>46</v>
      </c>
      <c r="B19" s="64"/>
      <c r="C19" s="64"/>
      <c r="D19" s="64"/>
      <c r="E19" s="64"/>
      <c r="F19" s="60"/>
    </row>
    <row r="20" spans="1:6" ht="15" customHeight="1">
      <c r="A20" s="425" t="s">
        <v>47</v>
      </c>
      <c r="B20" s="425"/>
      <c r="C20" s="64"/>
      <c r="D20" s="64"/>
      <c r="E20" s="64"/>
      <c r="F20" s="60"/>
    </row>
    <row r="21" spans="1:6">
      <c r="A21" s="425" t="s">
        <v>48</v>
      </c>
      <c r="B21" s="425"/>
      <c r="C21" s="64"/>
      <c r="D21" s="64"/>
      <c r="E21" s="64"/>
      <c r="F21" s="60"/>
    </row>
    <row r="22" spans="1:6">
      <c r="A22" s="66" t="s">
        <v>49</v>
      </c>
      <c r="B22" s="66" t="s">
        <v>50</v>
      </c>
      <c r="C22" s="64"/>
      <c r="D22" s="64"/>
      <c r="E22" s="64"/>
      <c r="F22" s="60"/>
    </row>
    <row r="23" spans="1:6">
      <c r="A23" s="67" t="s">
        <v>51</v>
      </c>
      <c r="B23" s="69"/>
      <c r="C23" s="64"/>
      <c r="D23" s="64"/>
      <c r="E23" s="64"/>
      <c r="F23" s="60"/>
    </row>
    <row r="24" spans="1:6" ht="18">
      <c r="A24" s="67" t="s">
        <v>52</v>
      </c>
      <c r="B24" s="70">
        <v>19.399999999999999</v>
      </c>
      <c r="C24" s="64"/>
      <c r="D24" s="64"/>
      <c r="E24" s="64"/>
      <c r="F24" s="60"/>
    </row>
    <row r="25" spans="1:6" ht="18">
      <c r="A25" s="67" t="s">
        <v>53</v>
      </c>
      <c r="B25" s="70">
        <v>33.5</v>
      </c>
      <c r="C25" s="64"/>
      <c r="D25" s="64"/>
      <c r="E25" s="64"/>
      <c r="F25" s="60"/>
    </row>
    <row r="26" spans="1:6" ht="18">
      <c r="A26" s="67" t="s">
        <v>54</v>
      </c>
      <c r="B26" s="70">
        <v>21.1</v>
      </c>
      <c r="C26" s="64"/>
      <c r="D26" s="64"/>
      <c r="E26" s="64"/>
      <c r="F26" s="60"/>
    </row>
    <row r="27" spans="1:6">
      <c r="A27" s="67"/>
      <c r="B27" s="70"/>
      <c r="C27" s="64"/>
      <c r="D27" s="64"/>
      <c r="E27" s="64"/>
      <c r="F27" s="60"/>
    </row>
    <row r="28" spans="1:6" ht="33">
      <c r="A28" s="67" t="s">
        <v>55</v>
      </c>
      <c r="B28" s="70">
        <v>38.799999999999997</v>
      </c>
      <c r="C28" s="64"/>
      <c r="D28" s="64"/>
      <c r="E28" s="64"/>
      <c r="F28" s="60"/>
    </row>
    <row r="29" spans="1:6">
      <c r="A29" s="69"/>
      <c r="B29" s="70"/>
      <c r="C29" s="64"/>
      <c r="D29" s="64"/>
      <c r="E29" s="64"/>
      <c r="F29" s="60"/>
    </row>
    <row r="30" spans="1:6" ht="18">
      <c r="A30" s="67" t="s">
        <v>56</v>
      </c>
      <c r="B30" s="70"/>
      <c r="C30" s="64"/>
      <c r="D30" s="64"/>
      <c r="E30" s="64"/>
      <c r="F30" s="60"/>
    </row>
    <row r="31" spans="1:6">
      <c r="A31" s="67" t="s">
        <v>57</v>
      </c>
      <c r="B31" s="70">
        <v>35.700000000000003</v>
      </c>
      <c r="C31" s="64"/>
      <c r="D31" s="64"/>
      <c r="E31" s="64"/>
      <c r="F31" s="60"/>
    </row>
    <row r="32" spans="1:6">
      <c r="A32" s="67" t="s">
        <v>58</v>
      </c>
      <c r="B32" s="70">
        <v>42.6</v>
      </c>
      <c r="C32" s="64"/>
      <c r="D32" s="64"/>
      <c r="E32" s="64"/>
      <c r="F32" s="60"/>
    </row>
    <row r="33" spans="1:6">
      <c r="A33" s="67" t="s">
        <v>59</v>
      </c>
      <c r="B33" s="70">
        <v>59.6</v>
      </c>
      <c r="C33" s="64"/>
      <c r="D33" s="64"/>
      <c r="E33" s="64"/>
      <c r="F33" s="60"/>
    </row>
    <row r="34" spans="1:6">
      <c r="A34" s="67" t="s">
        <v>60</v>
      </c>
      <c r="B34" s="70">
        <v>52.9</v>
      </c>
      <c r="C34" s="64"/>
      <c r="D34" s="64"/>
      <c r="E34" s="64"/>
      <c r="F34" s="60"/>
    </row>
    <row r="35" spans="1:6">
      <c r="A35" s="73"/>
      <c r="B35" s="74"/>
      <c r="C35" s="64"/>
      <c r="D35" s="64"/>
      <c r="E35" s="64"/>
      <c r="F35" s="60"/>
    </row>
    <row r="36" spans="1:6" ht="83.25" customHeight="1">
      <c r="A36" s="404" t="s">
        <v>61</v>
      </c>
      <c r="B36" s="406"/>
      <c r="C36" s="64"/>
      <c r="D36" s="64"/>
      <c r="E36" s="64"/>
      <c r="F36" s="60"/>
    </row>
    <row r="37" spans="1:6" ht="54" customHeight="1">
      <c r="A37" s="404" t="s">
        <v>62</v>
      </c>
      <c r="B37" s="406"/>
      <c r="C37" s="64"/>
      <c r="D37" s="64"/>
      <c r="E37" s="64"/>
      <c r="F37" s="60"/>
    </row>
    <row r="38" spans="1:6" ht="58.5" customHeight="1">
      <c r="A38" s="404" t="s">
        <v>63</v>
      </c>
      <c r="B38" s="406"/>
      <c r="C38" s="64"/>
      <c r="D38" s="64"/>
      <c r="E38" s="64"/>
      <c r="F38" s="60"/>
    </row>
    <row r="39" spans="1:6" ht="25.5" customHeight="1">
      <c r="A39" s="426" t="s">
        <v>64</v>
      </c>
      <c r="B39" s="427"/>
      <c r="C39" s="64"/>
      <c r="D39" s="64"/>
      <c r="E39" s="64"/>
      <c r="F39" s="60"/>
    </row>
    <row r="40" spans="1:6" ht="23.25" customHeight="1">
      <c r="A40" s="428" t="s">
        <v>65</v>
      </c>
      <c r="B40" s="429"/>
      <c r="C40" s="64"/>
      <c r="D40" s="64"/>
      <c r="E40" s="64"/>
      <c r="F40" s="60"/>
    </row>
    <row r="41" spans="1:6">
      <c r="A41" s="5" t="s">
        <v>20</v>
      </c>
      <c r="B41" s="64"/>
      <c r="C41" s="64"/>
      <c r="D41" s="64"/>
      <c r="E41" s="64"/>
      <c r="F41" s="60"/>
    </row>
    <row r="42" spans="1:6">
      <c r="A42" s="63" t="s">
        <v>66</v>
      </c>
      <c r="B42" s="64"/>
      <c r="C42" s="64"/>
      <c r="D42" s="64"/>
      <c r="E42" s="64"/>
      <c r="F42" s="60"/>
    </row>
    <row r="43" spans="1:6">
      <c r="A43" s="75" t="s">
        <v>67</v>
      </c>
      <c r="B43" s="76" t="s">
        <v>68</v>
      </c>
      <c r="C43" s="64"/>
      <c r="D43" s="64"/>
      <c r="E43" s="64"/>
      <c r="F43" s="60"/>
    </row>
    <row r="44" spans="1:6" ht="18">
      <c r="A44" s="67" t="s">
        <v>69</v>
      </c>
      <c r="B44" s="77">
        <v>1.34</v>
      </c>
      <c r="C44" s="64"/>
      <c r="D44" s="64"/>
      <c r="E44" s="64"/>
      <c r="F44" s="60"/>
    </row>
    <row r="45" spans="1:6">
      <c r="A45" s="67" t="s">
        <v>70</v>
      </c>
      <c r="B45" s="77">
        <v>1.41</v>
      </c>
      <c r="C45" s="64"/>
      <c r="D45" s="64"/>
      <c r="E45" s="64"/>
      <c r="F45" s="60"/>
    </row>
    <row r="46" spans="1:6">
      <c r="A46" s="67" t="s">
        <v>71</v>
      </c>
      <c r="B46" s="77">
        <v>1.81</v>
      </c>
      <c r="C46" s="64"/>
      <c r="D46" s="64"/>
      <c r="E46" s="64"/>
      <c r="F46" s="60"/>
    </row>
    <row r="47" spans="1:6">
      <c r="A47" s="67" t="s">
        <v>72</v>
      </c>
      <c r="B47" s="77">
        <v>1.52</v>
      </c>
      <c r="C47" s="64"/>
      <c r="D47" s="64"/>
      <c r="E47" s="64"/>
      <c r="F47" s="60"/>
    </row>
    <row r="48" spans="1:6">
      <c r="A48" s="65"/>
      <c r="B48" s="72"/>
      <c r="C48" s="64"/>
      <c r="D48" s="64"/>
      <c r="E48" s="64"/>
      <c r="F48" s="60"/>
    </row>
    <row r="49" spans="1:6" ht="45" customHeight="1">
      <c r="A49" s="422" t="s">
        <v>73</v>
      </c>
      <c r="B49" s="424"/>
      <c r="C49" s="64"/>
      <c r="D49" s="64"/>
      <c r="E49" s="64"/>
      <c r="F49" s="60"/>
    </row>
    <row r="50" spans="1:6">
      <c r="A50" s="5" t="s">
        <v>20</v>
      </c>
      <c r="B50" s="64"/>
      <c r="C50" s="64"/>
      <c r="D50" s="64"/>
      <c r="E50" s="64"/>
      <c r="F50" s="60"/>
    </row>
    <row r="51" spans="1:6">
      <c r="A51" s="63" t="s">
        <v>74</v>
      </c>
      <c r="B51" s="64"/>
      <c r="C51" s="64"/>
      <c r="D51" s="64"/>
      <c r="E51" s="64"/>
      <c r="F51" s="60"/>
    </row>
    <row r="52" spans="1:6" ht="30" customHeight="1">
      <c r="A52" s="75" t="s">
        <v>67</v>
      </c>
      <c r="B52" s="76" t="s">
        <v>75</v>
      </c>
      <c r="C52" s="64"/>
      <c r="D52" s="64"/>
      <c r="E52" s="64"/>
      <c r="F52" s="60"/>
    </row>
    <row r="53" spans="1:6" ht="18">
      <c r="A53" s="67" t="s">
        <v>76</v>
      </c>
      <c r="B53" s="78">
        <v>0.56000000000000005</v>
      </c>
      <c r="C53" s="64"/>
      <c r="D53" s="64"/>
      <c r="E53" s="64"/>
      <c r="F53" s="60"/>
    </row>
    <row r="54" spans="1:6" ht="18">
      <c r="A54" s="67" t="s">
        <v>77</v>
      </c>
      <c r="B54" s="78">
        <v>1.27</v>
      </c>
      <c r="C54" s="64"/>
      <c r="D54" s="64"/>
      <c r="E54" s="64"/>
      <c r="F54" s="60"/>
    </row>
    <row r="55" spans="1:6">
      <c r="A55" s="65"/>
      <c r="B55" s="72"/>
      <c r="C55" s="64"/>
      <c r="D55" s="64"/>
      <c r="E55" s="64"/>
      <c r="F55" s="60"/>
    </row>
    <row r="56" spans="1:6" ht="68.25" customHeight="1">
      <c r="A56" s="404" t="s">
        <v>78</v>
      </c>
      <c r="B56" s="406"/>
      <c r="C56" s="64"/>
      <c r="D56" s="64"/>
      <c r="E56" s="64"/>
      <c r="F56" s="60"/>
    </row>
    <row r="57" spans="1:6" ht="72" customHeight="1">
      <c r="A57" s="422" t="s">
        <v>79</v>
      </c>
      <c r="B57" s="424"/>
      <c r="C57" s="64"/>
      <c r="D57" s="64"/>
      <c r="E57" s="64"/>
      <c r="F57" s="60"/>
    </row>
    <row r="58" spans="1:6">
      <c r="A58" s="5" t="s">
        <v>20</v>
      </c>
      <c r="B58" s="64"/>
      <c r="C58" s="64"/>
      <c r="D58" s="64"/>
      <c r="E58" s="64"/>
      <c r="F58" s="60"/>
    </row>
    <row r="59" spans="1:6">
      <c r="A59" s="63" t="s">
        <v>80</v>
      </c>
      <c r="B59" s="64"/>
      <c r="C59" s="64"/>
      <c r="D59" s="64"/>
      <c r="E59" s="64"/>
      <c r="F59" s="60"/>
    </row>
    <row r="60" spans="1:6">
      <c r="A60" s="79"/>
      <c r="B60" s="414" t="s">
        <v>81</v>
      </c>
      <c r="C60" s="415"/>
      <c r="D60" s="416"/>
      <c r="E60" s="64"/>
      <c r="F60" s="60"/>
    </row>
    <row r="61" spans="1:6" ht="18">
      <c r="A61" s="79" t="s">
        <v>82</v>
      </c>
      <c r="B61" s="79" t="s">
        <v>83</v>
      </c>
      <c r="C61" s="79" t="s">
        <v>84</v>
      </c>
      <c r="D61" s="79" t="s">
        <v>85</v>
      </c>
      <c r="E61" s="64"/>
      <c r="F61" s="60"/>
    </row>
    <row r="62" spans="1:6">
      <c r="A62" s="124" t="s">
        <v>86</v>
      </c>
      <c r="B62" s="124"/>
      <c r="C62" s="124"/>
      <c r="D62" s="125"/>
      <c r="E62" s="64"/>
      <c r="F62" s="60"/>
    </row>
    <row r="63" spans="1:6">
      <c r="A63" s="67" t="s">
        <v>87</v>
      </c>
      <c r="B63" s="122">
        <v>262</v>
      </c>
      <c r="C63" s="122">
        <v>776</v>
      </c>
      <c r="D63" s="122">
        <v>29</v>
      </c>
      <c r="E63" s="64"/>
      <c r="F63" s="60"/>
    </row>
    <row r="64" spans="1:6">
      <c r="A64" s="67" t="s">
        <v>88</v>
      </c>
      <c r="B64" s="122">
        <v>282</v>
      </c>
      <c r="C64" s="122">
        <v>106</v>
      </c>
      <c r="D64" s="122">
        <v>27</v>
      </c>
      <c r="E64" s="64"/>
      <c r="F64" s="60"/>
    </row>
    <row r="65" spans="1:6">
      <c r="A65" s="67" t="s">
        <v>89</v>
      </c>
      <c r="B65" s="122">
        <v>718</v>
      </c>
      <c r="C65" s="122">
        <v>106</v>
      </c>
      <c r="D65" s="122">
        <v>27</v>
      </c>
      <c r="E65" s="64"/>
      <c r="F65" s="60"/>
    </row>
    <row r="66" spans="1:6">
      <c r="A66" s="67" t="s">
        <v>90</v>
      </c>
      <c r="B66" s="122">
        <v>323</v>
      </c>
      <c r="C66" s="122">
        <v>106</v>
      </c>
      <c r="D66" s="122">
        <v>27</v>
      </c>
      <c r="E66" s="64"/>
      <c r="F66" s="60"/>
    </row>
    <row r="67" spans="1:6">
      <c r="A67" s="124" t="s">
        <v>91</v>
      </c>
      <c r="B67" s="124"/>
      <c r="C67" s="124"/>
      <c r="D67" s="126"/>
      <c r="E67" s="64"/>
      <c r="F67" s="60"/>
    </row>
    <row r="68" spans="1:6">
      <c r="A68" s="67" t="s">
        <v>87</v>
      </c>
      <c r="B68" s="122">
        <v>706</v>
      </c>
      <c r="C68" s="122">
        <v>2284</v>
      </c>
      <c r="D68" s="122">
        <v>290</v>
      </c>
      <c r="E68" s="64"/>
      <c r="F68" s="60"/>
    </row>
    <row r="69" spans="1:6">
      <c r="A69" s="67" t="s">
        <v>88</v>
      </c>
      <c r="B69" s="122">
        <v>687</v>
      </c>
      <c r="C69" s="122">
        <v>755</v>
      </c>
      <c r="D69" s="122">
        <v>226</v>
      </c>
      <c r="E69" s="64"/>
      <c r="F69" s="60"/>
    </row>
    <row r="70" spans="1:6">
      <c r="A70" s="67" t="s">
        <v>89</v>
      </c>
      <c r="B70" s="122">
        <v>1123</v>
      </c>
      <c r="C70" s="122">
        <v>755</v>
      </c>
      <c r="D70" s="122">
        <v>226</v>
      </c>
      <c r="E70" s="64"/>
      <c r="F70" s="60"/>
    </row>
    <row r="71" spans="1:6">
      <c r="A71" s="67" t="s">
        <v>90</v>
      </c>
      <c r="B71" s="122">
        <v>728</v>
      </c>
      <c r="C71" s="122">
        <v>755</v>
      </c>
      <c r="D71" s="122">
        <v>226</v>
      </c>
      <c r="E71" s="64"/>
      <c r="F71" s="60"/>
    </row>
    <row r="72" spans="1:6">
      <c r="A72" s="124" t="s">
        <v>92</v>
      </c>
      <c r="B72" s="124"/>
      <c r="C72" s="124"/>
      <c r="D72" s="127"/>
      <c r="E72" s="64"/>
      <c r="F72" s="60"/>
    </row>
    <row r="73" spans="1:6">
      <c r="A73" s="67" t="s">
        <v>93</v>
      </c>
      <c r="B73" s="70">
        <v>1.07</v>
      </c>
      <c r="C73" s="123" t="s">
        <v>94</v>
      </c>
      <c r="D73" s="123" t="s">
        <v>94</v>
      </c>
      <c r="E73" s="64"/>
      <c r="F73" s="60"/>
    </row>
    <row r="74" spans="1:6" ht="27.95" customHeight="1">
      <c r="A74" s="417" t="s">
        <v>95</v>
      </c>
      <c r="B74" s="417"/>
      <c r="C74" s="417"/>
      <c r="D74" s="418"/>
      <c r="E74" s="64"/>
      <c r="F74" s="60"/>
    </row>
    <row r="75" spans="1:6" ht="57.6" customHeight="1">
      <c r="A75" s="412" t="s">
        <v>96</v>
      </c>
      <c r="B75" s="412"/>
      <c r="C75" s="412"/>
      <c r="D75" s="413"/>
      <c r="E75" s="64"/>
      <c r="F75" s="60"/>
    </row>
    <row r="76" spans="1:6">
      <c r="A76" s="5" t="s">
        <v>20</v>
      </c>
      <c r="B76" s="64"/>
      <c r="C76" s="64"/>
      <c r="D76" s="64"/>
      <c r="E76" s="64"/>
      <c r="F76" s="60"/>
    </row>
    <row r="77" spans="1:6">
      <c r="A77" s="63" t="s">
        <v>97</v>
      </c>
      <c r="B77" s="64"/>
      <c r="C77" s="64"/>
      <c r="D77" s="64"/>
      <c r="E77" s="64"/>
      <c r="F77" s="60"/>
    </row>
    <row r="78" spans="1:6" ht="16.5">
      <c r="A78" s="79" t="s">
        <v>98</v>
      </c>
      <c r="B78" s="76" t="s">
        <v>99</v>
      </c>
      <c r="C78" s="76" t="s">
        <v>100</v>
      </c>
      <c r="D78" s="76" t="s">
        <v>101</v>
      </c>
      <c r="E78" s="76" t="s">
        <v>102</v>
      </c>
      <c r="F78" s="60"/>
    </row>
    <row r="79" spans="1:6">
      <c r="A79" s="67">
        <v>2024</v>
      </c>
      <c r="B79" s="68">
        <v>20800</v>
      </c>
      <c r="C79" s="68">
        <v>55800</v>
      </c>
      <c r="D79" s="68">
        <v>998300</v>
      </c>
      <c r="E79" s="68">
        <v>241</v>
      </c>
      <c r="F79" s="60"/>
    </row>
    <row r="80" spans="1:6">
      <c r="A80" s="67">
        <v>2025</v>
      </c>
      <c r="B80" s="68">
        <v>21100</v>
      </c>
      <c r="C80" s="68">
        <v>56800</v>
      </c>
      <c r="D80" s="68">
        <v>1011100</v>
      </c>
      <c r="E80" s="68">
        <v>246</v>
      </c>
      <c r="F80" s="60"/>
    </row>
    <row r="81" spans="1:6">
      <c r="A81" s="67">
        <v>2026</v>
      </c>
      <c r="B81" s="68">
        <v>21400</v>
      </c>
      <c r="C81" s="68">
        <v>58100</v>
      </c>
      <c r="D81" s="68">
        <v>1029700</v>
      </c>
      <c r="E81" s="68">
        <v>250</v>
      </c>
      <c r="F81" s="60"/>
    </row>
    <row r="82" spans="1:6">
      <c r="A82" s="67">
        <v>2027</v>
      </c>
      <c r="B82" s="68">
        <v>21800</v>
      </c>
      <c r="C82" s="68">
        <v>59500</v>
      </c>
      <c r="D82" s="68">
        <v>1048800</v>
      </c>
      <c r="E82" s="68">
        <v>254</v>
      </c>
      <c r="F82" s="60"/>
    </row>
    <row r="83" spans="1:6">
      <c r="A83" s="67">
        <v>2028</v>
      </c>
      <c r="B83" s="68">
        <v>22100</v>
      </c>
      <c r="C83" s="68">
        <v>60800</v>
      </c>
      <c r="D83" s="68">
        <v>1068200</v>
      </c>
      <c r="E83" s="68">
        <v>259</v>
      </c>
      <c r="F83" s="60"/>
    </row>
    <row r="84" spans="1:6">
      <c r="A84" s="67">
        <v>2029</v>
      </c>
      <c r="B84" s="68">
        <v>22500</v>
      </c>
      <c r="C84" s="68">
        <v>62300</v>
      </c>
      <c r="D84" s="68">
        <v>1087900</v>
      </c>
      <c r="E84" s="68">
        <v>262</v>
      </c>
      <c r="F84" s="60"/>
    </row>
    <row r="85" spans="1:6">
      <c r="A85" s="67">
        <v>2030</v>
      </c>
      <c r="B85" s="68">
        <v>22900</v>
      </c>
      <c r="C85" s="68">
        <v>63700</v>
      </c>
      <c r="D85" s="68">
        <v>1108000</v>
      </c>
      <c r="E85" s="68">
        <v>267</v>
      </c>
      <c r="F85" s="60"/>
    </row>
    <row r="86" spans="1:6">
      <c r="A86" s="67">
        <v>2031</v>
      </c>
      <c r="B86" s="68">
        <v>22900</v>
      </c>
      <c r="C86" s="68">
        <v>63700</v>
      </c>
      <c r="D86" s="68">
        <v>1108000</v>
      </c>
      <c r="E86" s="68">
        <v>272</v>
      </c>
      <c r="F86" s="60"/>
    </row>
    <row r="87" spans="1:6">
      <c r="A87" s="67">
        <v>2032</v>
      </c>
      <c r="B87" s="68">
        <v>22900</v>
      </c>
      <c r="C87" s="68">
        <v>63700</v>
      </c>
      <c r="D87" s="68">
        <v>1108000</v>
      </c>
      <c r="E87" s="68">
        <v>275</v>
      </c>
      <c r="F87" s="60"/>
    </row>
    <row r="88" spans="1:6">
      <c r="A88" s="67">
        <v>2033</v>
      </c>
      <c r="B88" s="68">
        <v>22900</v>
      </c>
      <c r="C88" s="68">
        <v>63700</v>
      </c>
      <c r="D88" s="68">
        <v>1108000</v>
      </c>
      <c r="E88" s="68">
        <v>280</v>
      </c>
      <c r="F88" s="60"/>
    </row>
    <row r="89" spans="1:6">
      <c r="A89" s="67">
        <v>2034</v>
      </c>
      <c r="B89" s="68">
        <v>22900</v>
      </c>
      <c r="C89" s="68">
        <v>63700</v>
      </c>
      <c r="D89" s="68">
        <v>1108000</v>
      </c>
      <c r="E89" s="68">
        <v>284</v>
      </c>
      <c r="F89" s="60"/>
    </row>
    <row r="90" spans="1:6">
      <c r="A90" s="67">
        <v>2035</v>
      </c>
      <c r="B90" s="68">
        <v>22900</v>
      </c>
      <c r="C90" s="68">
        <v>63700</v>
      </c>
      <c r="D90" s="68">
        <v>1108000</v>
      </c>
      <c r="E90" s="68">
        <v>288</v>
      </c>
      <c r="F90" s="60"/>
    </row>
    <row r="91" spans="1:6">
      <c r="A91" s="67">
        <v>2036</v>
      </c>
      <c r="B91" s="68">
        <v>22900</v>
      </c>
      <c r="C91" s="68">
        <v>63700</v>
      </c>
      <c r="D91" s="68">
        <v>1108000</v>
      </c>
      <c r="E91" s="68">
        <v>292</v>
      </c>
      <c r="F91" s="60"/>
    </row>
    <row r="92" spans="1:6">
      <c r="A92" s="67">
        <v>2037</v>
      </c>
      <c r="B92" s="68">
        <v>22900</v>
      </c>
      <c r="C92" s="68">
        <v>63700</v>
      </c>
      <c r="D92" s="68">
        <v>1108000</v>
      </c>
      <c r="E92" s="68">
        <v>297</v>
      </c>
      <c r="F92" s="60"/>
    </row>
    <row r="93" spans="1:6">
      <c r="A93" s="67">
        <v>2038</v>
      </c>
      <c r="B93" s="68">
        <v>22900</v>
      </c>
      <c r="C93" s="68">
        <v>63700</v>
      </c>
      <c r="D93" s="68">
        <v>1108000</v>
      </c>
      <c r="E93" s="68">
        <v>301</v>
      </c>
      <c r="F93" s="60"/>
    </row>
    <row r="94" spans="1:6">
      <c r="A94" s="67">
        <v>2039</v>
      </c>
      <c r="B94" s="68">
        <v>22900</v>
      </c>
      <c r="C94" s="68">
        <v>63700</v>
      </c>
      <c r="D94" s="68">
        <v>1108000</v>
      </c>
      <c r="E94" s="68">
        <v>305</v>
      </c>
      <c r="F94" s="60"/>
    </row>
    <row r="95" spans="1:6">
      <c r="A95" s="67">
        <v>2040</v>
      </c>
      <c r="B95" s="68">
        <v>22900</v>
      </c>
      <c r="C95" s="68">
        <v>63700</v>
      </c>
      <c r="D95" s="68">
        <v>1108000</v>
      </c>
      <c r="E95" s="68">
        <v>310</v>
      </c>
      <c r="F95" s="60"/>
    </row>
    <row r="96" spans="1:6">
      <c r="A96" s="67">
        <v>2041</v>
      </c>
      <c r="B96" s="68">
        <v>22900</v>
      </c>
      <c r="C96" s="68">
        <v>63700</v>
      </c>
      <c r="D96" s="68">
        <v>1108000</v>
      </c>
      <c r="E96" s="68">
        <v>314</v>
      </c>
      <c r="F96" s="60"/>
    </row>
    <row r="97" spans="1:6">
      <c r="A97" s="67">
        <v>2042</v>
      </c>
      <c r="B97" s="68">
        <v>22900</v>
      </c>
      <c r="C97" s="68">
        <v>63700</v>
      </c>
      <c r="D97" s="68">
        <v>1108000</v>
      </c>
      <c r="E97" s="68">
        <v>319</v>
      </c>
      <c r="F97" s="60"/>
    </row>
    <row r="98" spans="1:6">
      <c r="A98" s="67">
        <v>2043</v>
      </c>
      <c r="B98" s="68">
        <v>22900</v>
      </c>
      <c r="C98" s="68">
        <v>63700</v>
      </c>
      <c r="D98" s="68">
        <v>1108000</v>
      </c>
      <c r="E98" s="68">
        <v>324</v>
      </c>
      <c r="F98" s="60"/>
    </row>
    <row r="99" spans="1:6">
      <c r="A99" s="67">
        <v>2044</v>
      </c>
      <c r="B99" s="68">
        <v>22900</v>
      </c>
      <c r="C99" s="68">
        <v>63700</v>
      </c>
      <c r="D99" s="68">
        <v>1108000</v>
      </c>
      <c r="E99" s="68">
        <v>328</v>
      </c>
      <c r="F99" s="60"/>
    </row>
    <row r="100" spans="1:6">
      <c r="A100" s="67">
        <v>2045</v>
      </c>
      <c r="B100" s="68">
        <v>22900</v>
      </c>
      <c r="C100" s="68">
        <v>63700</v>
      </c>
      <c r="D100" s="68">
        <v>1108000</v>
      </c>
      <c r="E100" s="68">
        <v>333</v>
      </c>
      <c r="F100" s="60"/>
    </row>
    <row r="101" spans="1:6">
      <c r="A101" s="67">
        <v>2046</v>
      </c>
      <c r="B101" s="68">
        <v>22900</v>
      </c>
      <c r="C101" s="68">
        <v>63700</v>
      </c>
      <c r="D101" s="68">
        <v>1108000</v>
      </c>
      <c r="E101" s="68">
        <v>338</v>
      </c>
      <c r="F101" s="60"/>
    </row>
    <row r="102" spans="1:6">
      <c r="A102" s="67">
        <v>2047</v>
      </c>
      <c r="B102" s="68">
        <v>22900</v>
      </c>
      <c r="C102" s="68">
        <v>63700</v>
      </c>
      <c r="D102" s="68">
        <v>1108000</v>
      </c>
      <c r="E102" s="68">
        <v>344</v>
      </c>
      <c r="F102" s="60"/>
    </row>
    <row r="103" spans="1:6">
      <c r="A103" s="67">
        <v>2048</v>
      </c>
      <c r="B103" s="68">
        <v>22900</v>
      </c>
      <c r="C103" s="68">
        <v>63700</v>
      </c>
      <c r="D103" s="68">
        <v>1108000</v>
      </c>
      <c r="E103" s="68">
        <v>348</v>
      </c>
      <c r="F103" s="60"/>
    </row>
    <row r="104" spans="1:6">
      <c r="A104" s="67">
        <v>2049</v>
      </c>
      <c r="B104" s="68">
        <v>22900</v>
      </c>
      <c r="C104" s="68">
        <v>63700</v>
      </c>
      <c r="D104" s="68">
        <v>1108000</v>
      </c>
      <c r="E104" s="68">
        <v>353</v>
      </c>
      <c r="F104" s="60"/>
    </row>
    <row r="105" spans="1:6">
      <c r="A105" s="67">
        <v>2050</v>
      </c>
      <c r="B105" s="68">
        <v>22900</v>
      </c>
      <c r="C105" s="68">
        <v>63700</v>
      </c>
      <c r="D105" s="68">
        <v>1108000</v>
      </c>
      <c r="E105" s="68">
        <v>357</v>
      </c>
      <c r="F105" s="60"/>
    </row>
    <row r="106" spans="1:6">
      <c r="A106" s="67">
        <v>2051</v>
      </c>
      <c r="B106" s="68">
        <v>22900</v>
      </c>
      <c r="C106" s="68">
        <v>63700</v>
      </c>
      <c r="D106" s="68">
        <v>1108000</v>
      </c>
      <c r="E106" s="68">
        <v>362</v>
      </c>
      <c r="F106" s="60"/>
    </row>
    <row r="107" spans="1:6">
      <c r="A107" s="67">
        <v>2052</v>
      </c>
      <c r="B107" s="68">
        <v>22900</v>
      </c>
      <c r="C107" s="68">
        <v>63700</v>
      </c>
      <c r="D107" s="68">
        <v>1108000</v>
      </c>
      <c r="E107" s="68">
        <v>366</v>
      </c>
      <c r="F107" s="60"/>
    </row>
    <row r="108" spans="1:6">
      <c r="A108" s="67">
        <v>2053</v>
      </c>
      <c r="B108" s="68">
        <v>22900</v>
      </c>
      <c r="C108" s="68">
        <v>63700</v>
      </c>
      <c r="D108" s="68">
        <v>1108000</v>
      </c>
      <c r="E108" s="82">
        <v>370</v>
      </c>
      <c r="F108" s="60"/>
    </row>
    <row r="109" spans="1:6">
      <c r="A109" s="67">
        <v>2054</v>
      </c>
      <c r="B109" s="68">
        <v>22900</v>
      </c>
      <c r="C109" s="68">
        <v>63700</v>
      </c>
      <c r="D109" s="68">
        <v>1108000</v>
      </c>
      <c r="E109" s="82">
        <v>375</v>
      </c>
      <c r="F109" s="60"/>
    </row>
    <row r="110" spans="1:6">
      <c r="A110" s="80"/>
      <c r="B110" s="81"/>
      <c r="C110" s="81"/>
      <c r="D110" s="81"/>
      <c r="E110" s="82"/>
      <c r="F110" s="60"/>
    </row>
    <row r="111" spans="1:6">
      <c r="A111" s="430" t="s">
        <v>103</v>
      </c>
      <c r="B111" s="431"/>
      <c r="C111" s="431"/>
      <c r="D111" s="431"/>
      <c r="E111" s="432"/>
      <c r="F111" s="60"/>
    </row>
    <row r="112" spans="1:6" ht="16.5">
      <c r="A112" s="433" t="s">
        <v>104</v>
      </c>
      <c r="B112" s="434"/>
      <c r="C112" s="434"/>
      <c r="D112" s="434"/>
      <c r="E112" s="435"/>
      <c r="F112" s="60"/>
    </row>
    <row r="113" spans="1:6">
      <c r="A113" s="5" t="s">
        <v>20</v>
      </c>
      <c r="B113" s="64"/>
      <c r="C113" s="64"/>
      <c r="D113" s="64"/>
      <c r="E113" s="64"/>
      <c r="F113" s="60"/>
    </row>
    <row r="114" spans="1:6">
      <c r="A114" s="63" t="s">
        <v>105</v>
      </c>
      <c r="B114" s="64"/>
      <c r="C114" s="64"/>
      <c r="D114" s="64"/>
      <c r="E114" s="64"/>
      <c r="F114" s="60"/>
    </row>
    <row r="115" spans="1:6" ht="34.5" customHeight="1">
      <c r="A115" s="75" t="s">
        <v>106</v>
      </c>
      <c r="B115" s="76" t="s">
        <v>107</v>
      </c>
      <c r="C115" s="64"/>
      <c r="D115" s="64"/>
      <c r="E115" s="64"/>
      <c r="F115" s="60"/>
    </row>
    <row r="116" spans="1:6">
      <c r="A116" s="83">
        <v>2004</v>
      </c>
      <c r="B116" s="77">
        <v>1.55</v>
      </c>
      <c r="C116" s="64"/>
      <c r="D116" s="64"/>
      <c r="E116" s="64"/>
      <c r="F116" s="60"/>
    </row>
    <row r="117" spans="1:6">
      <c r="A117" s="83">
        <v>2005</v>
      </c>
      <c r="B117" s="77">
        <v>1.5</v>
      </c>
      <c r="C117" s="64"/>
      <c r="D117" s="64"/>
      <c r="E117" s="64"/>
      <c r="F117" s="60"/>
    </row>
    <row r="118" spans="1:6">
      <c r="A118" s="83">
        <v>2006</v>
      </c>
      <c r="B118" s="77">
        <v>1.45</v>
      </c>
      <c r="C118" s="64"/>
      <c r="D118" s="64"/>
      <c r="E118" s="64"/>
      <c r="F118" s="60"/>
    </row>
    <row r="119" spans="1:6">
      <c r="A119" s="83">
        <v>2007</v>
      </c>
      <c r="B119" s="77">
        <v>1.42</v>
      </c>
      <c r="C119" s="64"/>
      <c r="D119" s="64"/>
      <c r="E119" s="64"/>
      <c r="F119" s="60"/>
    </row>
    <row r="120" spans="1:6">
      <c r="A120" s="83">
        <v>2008</v>
      </c>
      <c r="B120" s="77">
        <v>1.39</v>
      </c>
      <c r="C120" s="64"/>
      <c r="D120" s="64"/>
      <c r="E120" s="64"/>
      <c r="F120" s="60"/>
    </row>
    <row r="121" spans="1:6">
      <c r="A121" s="83">
        <v>2009</v>
      </c>
      <c r="B121" s="77">
        <v>1.38</v>
      </c>
      <c r="C121" s="64"/>
      <c r="D121" s="64"/>
      <c r="E121" s="64"/>
      <c r="F121" s="60"/>
    </row>
    <row r="122" spans="1:6">
      <c r="A122" s="83">
        <v>2010</v>
      </c>
      <c r="B122" s="77">
        <v>1.36</v>
      </c>
      <c r="C122" s="64"/>
      <c r="D122" s="64"/>
      <c r="E122" s="64"/>
      <c r="F122" s="60"/>
    </row>
    <row r="123" spans="1:6">
      <c r="A123" s="83">
        <v>2011</v>
      </c>
      <c r="B123" s="77">
        <v>1.34</v>
      </c>
      <c r="C123" s="64"/>
      <c r="D123" s="64"/>
      <c r="E123" s="64"/>
      <c r="F123" s="60"/>
    </row>
    <row r="124" spans="1:6">
      <c r="A124" s="83">
        <v>2012</v>
      </c>
      <c r="B124" s="77">
        <v>1.31</v>
      </c>
      <c r="C124" s="64"/>
      <c r="D124" s="64"/>
      <c r="E124" s="64"/>
      <c r="F124" s="60"/>
    </row>
    <row r="125" spans="1:6">
      <c r="A125" s="83">
        <v>2013</v>
      </c>
      <c r="B125" s="77">
        <v>1.29</v>
      </c>
      <c r="C125" s="64"/>
      <c r="D125" s="64"/>
      <c r="E125" s="64"/>
      <c r="F125" s="60"/>
    </row>
    <row r="126" spans="1:6">
      <c r="A126" s="83">
        <v>2014</v>
      </c>
      <c r="B126" s="77">
        <v>1.27</v>
      </c>
      <c r="C126" s="64"/>
      <c r="D126" s="64"/>
      <c r="E126" s="64"/>
      <c r="F126" s="60"/>
    </row>
    <row r="127" spans="1:6">
      <c r="A127" s="83">
        <v>2015</v>
      </c>
      <c r="B127" s="77">
        <v>1.26</v>
      </c>
      <c r="C127" s="64"/>
      <c r="D127" s="64"/>
      <c r="E127" s="64"/>
      <c r="F127" s="60"/>
    </row>
    <row r="128" spans="1:6">
      <c r="A128" s="83">
        <v>2016</v>
      </c>
      <c r="B128" s="77">
        <v>1.24</v>
      </c>
      <c r="C128" s="64"/>
      <c r="D128" s="64"/>
      <c r="E128" s="64"/>
      <c r="F128" s="60"/>
    </row>
    <row r="129" spans="1:6">
      <c r="A129" s="83">
        <v>2017</v>
      </c>
      <c r="B129" s="77">
        <v>1.22</v>
      </c>
      <c r="C129" s="64"/>
      <c r="D129" s="64"/>
      <c r="E129" s="64"/>
      <c r="F129" s="60"/>
    </row>
    <row r="130" spans="1:6">
      <c r="A130" s="83">
        <v>2018</v>
      </c>
      <c r="B130" s="77">
        <v>1.2</v>
      </c>
      <c r="C130" s="64"/>
      <c r="D130" s="64"/>
      <c r="E130" s="64"/>
      <c r="F130" s="60"/>
    </row>
    <row r="131" spans="1:6">
      <c r="A131" s="83">
        <v>2019</v>
      </c>
      <c r="B131" s="77">
        <v>1.18</v>
      </c>
      <c r="C131" s="64"/>
      <c r="D131" s="64"/>
      <c r="E131" s="64"/>
      <c r="F131" s="60"/>
    </row>
    <row r="132" spans="1:6">
      <c r="A132" s="83">
        <v>2020</v>
      </c>
      <c r="B132" s="77">
        <v>1.1599999999999999</v>
      </c>
      <c r="C132" s="64"/>
      <c r="D132" s="64"/>
      <c r="E132" s="64"/>
      <c r="F132" s="60"/>
    </row>
    <row r="133" spans="1:6">
      <c r="A133" s="83">
        <v>2021</v>
      </c>
      <c r="B133" s="77">
        <v>1.1100000000000001</v>
      </c>
      <c r="C133" s="64"/>
      <c r="D133" s="64"/>
      <c r="E133" s="64"/>
      <c r="F133" s="60"/>
    </row>
    <row r="134" spans="1:6">
      <c r="A134" s="83">
        <v>2022</v>
      </c>
      <c r="B134" s="77">
        <v>1.04</v>
      </c>
      <c r="C134" s="64"/>
      <c r="D134" s="64"/>
      <c r="E134" s="64"/>
      <c r="F134" s="60"/>
    </row>
    <row r="135" spans="1:6">
      <c r="A135" s="83">
        <v>2023</v>
      </c>
      <c r="B135" s="77">
        <v>1</v>
      </c>
      <c r="C135" s="64"/>
      <c r="D135" s="64"/>
      <c r="E135" s="64"/>
      <c r="F135" s="60"/>
    </row>
    <row r="136" spans="1:6">
      <c r="A136" s="5" t="s">
        <v>20</v>
      </c>
      <c r="B136" s="64"/>
      <c r="C136" s="64"/>
      <c r="D136" s="64"/>
      <c r="E136" s="64"/>
      <c r="F136" s="60"/>
    </row>
    <row r="137" spans="1:6">
      <c r="A137" s="63" t="s">
        <v>108</v>
      </c>
      <c r="B137" s="64"/>
      <c r="C137" s="64"/>
      <c r="D137" s="64"/>
      <c r="E137" s="64"/>
      <c r="F137" s="60"/>
    </row>
    <row r="138" spans="1:6" ht="51.75" customHeight="1">
      <c r="A138" s="75" t="s">
        <v>109</v>
      </c>
      <c r="B138" s="76" t="s">
        <v>110</v>
      </c>
      <c r="C138" s="64"/>
      <c r="D138" s="64"/>
      <c r="E138" s="64"/>
      <c r="F138" s="60"/>
    </row>
    <row r="139" spans="1:6" ht="18">
      <c r="A139" s="323" t="s">
        <v>111</v>
      </c>
      <c r="B139" s="324">
        <v>0.11</v>
      </c>
      <c r="C139" s="64"/>
      <c r="D139" s="64"/>
      <c r="E139" s="64"/>
      <c r="F139" s="60"/>
    </row>
    <row r="140" spans="1:6">
      <c r="A140" s="84" t="s">
        <v>112</v>
      </c>
      <c r="B140" s="70">
        <v>1.2</v>
      </c>
      <c r="C140" s="64"/>
      <c r="D140" s="64"/>
      <c r="E140" s="64"/>
      <c r="F140" s="60"/>
    </row>
    <row r="141" spans="1:6">
      <c r="A141" s="323" t="s">
        <v>113</v>
      </c>
      <c r="B141" s="324">
        <v>0.1</v>
      </c>
      <c r="C141" s="64"/>
      <c r="D141" s="64"/>
      <c r="E141" s="64"/>
      <c r="F141" s="60"/>
    </row>
    <row r="142" spans="1:6" ht="30" customHeight="1">
      <c r="A142" s="85" t="s">
        <v>114</v>
      </c>
      <c r="B142" s="86">
        <v>1.1000000000000001E-3</v>
      </c>
      <c r="C142" s="64"/>
      <c r="D142" s="64"/>
      <c r="E142" s="64"/>
      <c r="F142" s="60"/>
    </row>
    <row r="143" spans="1:6">
      <c r="A143" s="5" t="s">
        <v>20</v>
      </c>
      <c r="B143" s="4"/>
      <c r="C143" s="64"/>
      <c r="D143" s="64"/>
      <c r="E143" s="64"/>
      <c r="F143" s="60"/>
    </row>
    <row r="144" spans="1:6" ht="33">
      <c r="A144" s="75" t="s">
        <v>109</v>
      </c>
      <c r="B144" s="76" t="s">
        <v>115</v>
      </c>
      <c r="C144" s="64"/>
      <c r="D144" s="64"/>
      <c r="E144" s="64"/>
      <c r="F144" s="60"/>
    </row>
    <row r="145" spans="1:6" ht="34.5" customHeight="1">
      <c r="A145" s="325" t="s">
        <v>116</v>
      </c>
      <c r="B145" s="324">
        <v>0.21</v>
      </c>
      <c r="C145" s="64"/>
      <c r="D145" s="64"/>
      <c r="E145" s="64"/>
      <c r="F145" s="60"/>
    </row>
    <row r="146" spans="1:6" ht="35.25" customHeight="1">
      <c r="A146" s="325" t="s">
        <v>117</v>
      </c>
      <c r="B146" s="324">
        <v>0.55000000000000004</v>
      </c>
      <c r="C146" s="64"/>
      <c r="D146" s="64"/>
      <c r="E146" s="64"/>
      <c r="F146" s="60"/>
    </row>
    <row r="147" spans="1:6">
      <c r="A147" s="87"/>
      <c r="B147" s="88"/>
      <c r="C147" s="64"/>
      <c r="D147" s="64"/>
      <c r="E147" s="64"/>
      <c r="F147" s="60"/>
    </row>
    <row r="148" spans="1:6" ht="111" customHeight="1">
      <c r="A148" s="404" t="s">
        <v>118</v>
      </c>
      <c r="B148" s="409"/>
      <c r="C148" s="64"/>
      <c r="D148" s="64"/>
      <c r="E148" s="64"/>
      <c r="F148" s="60"/>
    </row>
    <row r="149" spans="1:6" ht="36" customHeight="1" thickBot="1">
      <c r="A149" s="410" t="s">
        <v>119</v>
      </c>
      <c r="B149" s="411"/>
      <c r="C149" s="64"/>
      <c r="D149" s="64"/>
      <c r="E149" s="64"/>
      <c r="F149" s="60"/>
    </row>
    <row r="150" spans="1:6">
      <c r="A150" s="5" t="s">
        <v>20</v>
      </c>
      <c r="B150" s="64"/>
      <c r="C150" s="64"/>
      <c r="D150" s="64"/>
      <c r="E150" s="64"/>
      <c r="F150" s="60"/>
    </row>
    <row r="151" spans="1:6">
      <c r="A151" s="63" t="s">
        <v>120</v>
      </c>
      <c r="B151" s="64"/>
      <c r="C151" s="64"/>
      <c r="D151" s="64"/>
      <c r="E151" s="64"/>
      <c r="F151" s="60"/>
    </row>
    <row r="152" spans="1:6" ht="36.75" customHeight="1">
      <c r="A152" s="75" t="s">
        <v>121</v>
      </c>
      <c r="B152" s="76" t="s">
        <v>122</v>
      </c>
      <c r="C152" s="64"/>
      <c r="D152" s="64"/>
      <c r="E152" s="64"/>
      <c r="F152" s="60"/>
    </row>
    <row r="153" spans="1:6">
      <c r="A153" s="67" t="s">
        <v>123</v>
      </c>
      <c r="B153" s="78">
        <v>1.7</v>
      </c>
      <c r="C153" s="64"/>
      <c r="D153" s="64"/>
      <c r="E153" s="64"/>
      <c r="F153" s="60"/>
    </row>
    <row r="154" spans="1:6" ht="18">
      <c r="A154" s="67" t="s">
        <v>124</v>
      </c>
      <c r="B154" s="78">
        <v>2.13</v>
      </c>
      <c r="C154" s="64"/>
      <c r="D154" s="64"/>
      <c r="E154" s="64"/>
      <c r="F154" s="60"/>
    </row>
    <row r="155" spans="1:6">
      <c r="A155" s="326" t="s">
        <v>125</v>
      </c>
      <c r="B155" s="327">
        <v>2.02</v>
      </c>
      <c r="C155" s="64"/>
      <c r="D155" s="64"/>
      <c r="E155" s="64"/>
      <c r="F155" s="60"/>
    </row>
    <row r="156" spans="1:6">
      <c r="A156" s="67" t="s">
        <v>126</v>
      </c>
      <c r="B156" s="78">
        <v>0.32</v>
      </c>
      <c r="C156" s="64"/>
      <c r="D156" s="64"/>
      <c r="E156" s="64"/>
      <c r="F156" s="60"/>
    </row>
    <row r="157" spans="1:6">
      <c r="A157" s="67" t="s">
        <v>127</v>
      </c>
      <c r="B157" s="78">
        <v>2.02</v>
      </c>
      <c r="C157" s="64"/>
      <c r="D157" s="64"/>
      <c r="E157" s="64"/>
      <c r="F157" s="60"/>
    </row>
    <row r="158" spans="1:6">
      <c r="A158" s="65"/>
      <c r="B158" s="4"/>
      <c r="C158" s="64"/>
      <c r="D158" s="64"/>
      <c r="E158" s="64"/>
      <c r="F158" s="60"/>
    </row>
    <row r="159" spans="1:6" ht="153.75" customHeight="1">
      <c r="A159" s="404" t="s">
        <v>128</v>
      </c>
      <c r="B159" s="409"/>
      <c r="C159" s="64"/>
      <c r="D159" s="64"/>
      <c r="E159" s="64"/>
      <c r="F159" s="60"/>
    </row>
    <row r="160" spans="1:6" ht="50.25" customHeight="1" thickBot="1">
      <c r="A160" s="410" t="s">
        <v>129</v>
      </c>
      <c r="B160" s="411"/>
      <c r="C160" s="64"/>
      <c r="D160" s="64"/>
      <c r="E160" s="64"/>
      <c r="F160" s="60"/>
    </row>
    <row r="161" spans="1:6">
      <c r="A161" s="5" t="s">
        <v>20</v>
      </c>
      <c r="F161" s="60"/>
    </row>
    <row r="162" spans="1:6">
      <c r="A162" s="63" t="s">
        <v>130</v>
      </c>
      <c r="F162" s="60"/>
    </row>
    <row r="163" spans="1:6" ht="15.75" customHeight="1">
      <c r="A163" s="408" t="s">
        <v>131</v>
      </c>
      <c r="B163" s="407" t="s">
        <v>132</v>
      </c>
      <c r="C163" s="407"/>
      <c r="D163" s="407"/>
      <c r="F163" s="60"/>
    </row>
    <row r="164" spans="1:6" ht="37.5" customHeight="1">
      <c r="A164" s="408"/>
      <c r="B164" s="76" t="s">
        <v>133</v>
      </c>
      <c r="C164" s="76" t="s">
        <v>134</v>
      </c>
      <c r="D164" s="76" t="s">
        <v>135</v>
      </c>
      <c r="F164" s="60"/>
    </row>
    <row r="165" spans="1:6">
      <c r="A165" s="89" t="s">
        <v>136</v>
      </c>
      <c r="B165" s="90">
        <v>0.04</v>
      </c>
      <c r="C165" s="90">
        <v>0.04</v>
      </c>
      <c r="D165" s="90">
        <v>7.0000000000000007E-2</v>
      </c>
      <c r="F165" s="60"/>
    </row>
    <row r="166" spans="1:6">
      <c r="A166" s="89" t="s">
        <v>137</v>
      </c>
      <c r="B166" s="90">
        <v>0.35</v>
      </c>
      <c r="C166" s="90">
        <v>0.17</v>
      </c>
      <c r="D166" s="90">
        <v>0.97</v>
      </c>
      <c r="F166" s="60"/>
    </row>
    <row r="167" spans="1:6">
      <c r="A167" s="89" t="s">
        <v>138</v>
      </c>
      <c r="B167" s="90">
        <v>0.26</v>
      </c>
      <c r="C167" s="90">
        <v>0.26</v>
      </c>
      <c r="D167" s="90">
        <v>0.12</v>
      </c>
      <c r="F167" s="60"/>
    </row>
    <row r="168" spans="1:6">
      <c r="A168" s="89" t="s">
        <v>139</v>
      </c>
      <c r="B168" s="90">
        <v>0.35</v>
      </c>
      <c r="C168" s="90">
        <v>0.06</v>
      </c>
      <c r="D168" s="90">
        <v>0.11</v>
      </c>
      <c r="F168" s="60"/>
    </row>
    <row r="169" spans="1:6" ht="18">
      <c r="A169" s="89" t="s">
        <v>140</v>
      </c>
      <c r="B169" s="90">
        <v>0.21</v>
      </c>
      <c r="C169" s="90">
        <v>0.15</v>
      </c>
      <c r="D169" s="90">
        <v>0.14000000000000001</v>
      </c>
      <c r="F169" s="60"/>
    </row>
    <row r="170" spans="1:6" ht="18">
      <c r="A170" s="89" t="s">
        <v>141</v>
      </c>
      <c r="B170" s="90">
        <v>0.28000000000000003</v>
      </c>
      <c r="C170" s="90">
        <v>0.18</v>
      </c>
      <c r="D170" s="90">
        <v>0.14000000000000001</v>
      </c>
      <c r="F170" s="60"/>
    </row>
    <row r="171" spans="1:6">
      <c r="A171" s="89" t="s">
        <v>142</v>
      </c>
      <c r="B171" s="90">
        <v>0.16</v>
      </c>
      <c r="C171" s="90">
        <v>0.16</v>
      </c>
      <c r="D171" s="90">
        <v>0.12</v>
      </c>
      <c r="F171" s="60"/>
    </row>
    <row r="172" spans="1:6">
      <c r="A172" s="89" t="s">
        <v>143</v>
      </c>
      <c r="B172" s="90">
        <v>0.12</v>
      </c>
      <c r="C172" s="90">
        <v>0.12</v>
      </c>
      <c r="D172" s="90">
        <v>7.0000000000000007E-2</v>
      </c>
      <c r="F172" s="60"/>
    </row>
    <row r="173" spans="1:6">
      <c r="A173" s="89" t="s">
        <v>144</v>
      </c>
      <c r="B173" s="90">
        <v>0.08</v>
      </c>
      <c r="C173" s="90">
        <v>0.03</v>
      </c>
      <c r="D173" s="90">
        <v>0.2</v>
      </c>
      <c r="F173" s="60"/>
    </row>
    <row r="174" spans="1:6">
      <c r="A174" s="89" t="s">
        <v>145</v>
      </c>
      <c r="B174" s="90">
        <v>0.36</v>
      </c>
      <c r="C174" s="90">
        <v>0.36</v>
      </c>
      <c r="D174" s="90">
        <v>0.23</v>
      </c>
      <c r="F174" s="60"/>
    </row>
    <row r="175" spans="1:6">
      <c r="A175" s="89" t="s">
        <v>146</v>
      </c>
      <c r="B175" s="90">
        <v>0.47</v>
      </c>
      <c r="C175" s="90">
        <v>0.08</v>
      </c>
      <c r="D175" s="90">
        <v>0.08</v>
      </c>
      <c r="F175" s="60"/>
    </row>
    <row r="176" spans="1:6">
      <c r="A176" s="89" t="s">
        <v>147</v>
      </c>
      <c r="B176" s="90">
        <v>0.35</v>
      </c>
      <c r="C176" s="90">
        <v>0.35</v>
      </c>
      <c r="D176" s="90">
        <v>0.36</v>
      </c>
      <c r="F176" s="60"/>
    </row>
    <row r="177" spans="1:6" ht="18">
      <c r="A177" s="89" t="s">
        <v>148</v>
      </c>
      <c r="B177" s="90">
        <v>0.7</v>
      </c>
      <c r="C177" s="90">
        <v>0.7</v>
      </c>
      <c r="D177" s="90">
        <v>0.7</v>
      </c>
      <c r="F177" s="60"/>
    </row>
    <row r="178" spans="1:6">
      <c r="A178" s="89" t="s">
        <v>149</v>
      </c>
      <c r="B178" s="90">
        <v>0.12</v>
      </c>
      <c r="C178" s="90">
        <v>0.12</v>
      </c>
      <c r="D178" s="90">
        <v>7.0000000000000007E-2</v>
      </c>
      <c r="F178" s="60"/>
    </row>
    <row r="179" spans="1:6">
      <c r="A179" s="89" t="s">
        <v>150</v>
      </c>
      <c r="B179" s="90">
        <v>0.26</v>
      </c>
      <c r="C179" s="90">
        <v>0.11</v>
      </c>
      <c r="D179" s="90">
        <v>0.53</v>
      </c>
      <c r="F179" s="60"/>
    </row>
    <row r="180" spans="1:6">
      <c r="A180" s="89" t="s">
        <v>151</v>
      </c>
      <c r="B180" s="91" t="s">
        <v>94</v>
      </c>
      <c r="C180" s="91" t="s">
        <v>94</v>
      </c>
      <c r="D180" s="90">
        <v>0.11</v>
      </c>
      <c r="F180" s="60"/>
    </row>
    <row r="181" spans="1:6">
      <c r="A181" s="89" t="s">
        <v>152</v>
      </c>
      <c r="B181" s="91" t="s">
        <v>94</v>
      </c>
      <c r="C181" s="91" t="s">
        <v>94</v>
      </c>
      <c r="D181" s="90">
        <v>0.13</v>
      </c>
      <c r="F181" s="60"/>
    </row>
    <row r="182" spans="1:6">
      <c r="A182" s="89" t="s">
        <v>153</v>
      </c>
      <c r="B182" s="91" t="s">
        <v>94</v>
      </c>
      <c r="C182" s="91" t="s">
        <v>94</v>
      </c>
      <c r="D182" s="90">
        <v>0.08</v>
      </c>
      <c r="F182" s="60"/>
    </row>
    <row r="183" spans="1:6">
      <c r="A183" s="89" t="s">
        <v>154</v>
      </c>
      <c r="B183" s="91" t="s">
        <v>94</v>
      </c>
      <c r="C183" s="91" t="s">
        <v>94</v>
      </c>
      <c r="D183" s="90">
        <v>0.04</v>
      </c>
      <c r="F183" s="60"/>
    </row>
    <row r="184" spans="1:6">
      <c r="A184" s="89" t="s">
        <v>155</v>
      </c>
      <c r="B184" s="91" t="s">
        <v>94</v>
      </c>
      <c r="C184" s="91" t="s">
        <v>94</v>
      </c>
      <c r="D184" s="90">
        <v>0.11</v>
      </c>
      <c r="F184" s="60"/>
    </row>
    <row r="185" spans="1:6">
      <c r="A185" s="89" t="s">
        <v>156</v>
      </c>
      <c r="B185" s="91" t="s">
        <v>94</v>
      </c>
      <c r="C185" s="91" t="s">
        <v>94</v>
      </c>
      <c r="D185" s="90">
        <v>0.06</v>
      </c>
      <c r="F185" s="60"/>
    </row>
    <row r="186" spans="1:6" ht="18">
      <c r="A186" s="89" t="s">
        <v>157</v>
      </c>
      <c r="B186" s="91" t="s">
        <v>94</v>
      </c>
      <c r="C186" s="91" t="s">
        <v>94</v>
      </c>
      <c r="D186" s="90">
        <v>0.23</v>
      </c>
      <c r="F186" s="60"/>
    </row>
    <row r="187" spans="1:6">
      <c r="A187" s="92"/>
      <c r="B187" s="58"/>
      <c r="C187" s="58"/>
      <c r="D187" s="59"/>
      <c r="F187" s="60"/>
    </row>
    <row r="188" spans="1:6" ht="63.75" customHeight="1">
      <c r="A188" s="422" t="s">
        <v>158</v>
      </c>
      <c r="B188" s="423"/>
      <c r="C188" s="423"/>
      <c r="D188" s="424"/>
      <c r="F188" s="60"/>
    </row>
    <row r="189" spans="1:6">
      <c r="A189" s="5" t="s">
        <v>20</v>
      </c>
      <c r="F189" s="60"/>
    </row>
    <row r="190" spans="1:6">
      <c r="A190" s="63" t="s">
        <v>159</v>
      </c>
      <c r="F190" s="60"/>
    </row>
    <row r="191" spans="1:6">
      <c r="A191" s="408" t="s">
        <v>131</v>
      </c>
      <c r="B191" s="407" t="s">
        <v>132</v>
      </c>
      <c r="C191" s="407"/>
      <c r="D191" s="407"/>
      <c r="F191" s="60"/>
    </row>
    <row r="192" spans="1:6">
      <c r="A192" s="408"/>
      <c r="B192" s="76" t="s">
        <v>160</v>
      </c>
      <c r="C192" s="76" t="s">
        <v>161</v>
      </c>
      <c r="D192" s="76" t="s">
        <v>162</v>
      </c>
      <c r="F192" s="60"/>
    </row>
    <row r="193" spans="1:6">
      <c r="A193" s="89" t="s">
        <v>137</v>
      </c>
      <c r="B193" s="90">
        <v>0.24</v>
      </c>
      <c r="C193" s="90">
        <v>0.24</v>
      </c>
      <c r="D193" s="90">
        <v>0.25</v>
      </c>
      <c r="F193" s="60"/>
    </row>
    <row r="194" spans="1:6">
      <c r="A194" s="89" t="s">
        <v>163</v>
      </c>
      <c r="B194" s="90">
        <v>0.14000000000000001</v>
      </c>
      <c r="C194" s="90">
        <v>0.14000000000000001</v>
      </c>
      <c r="D194" s="90">
        <v>0.35</v>
      </c>
      <c r="F194" s="60"/>
    </row>
    <row r="195" spans="1:6">
      <c r="A195" s="89" t="s">
        <v>164</v>
      </c>
      <c r="B195" s="90">
        <v>0.1</v>
      </c>
      <c r="C195" s="90">
        <v>0.1</v>
      </c>
      <c r="D195" s="90">
        <v>0.1</v>
      </c>
      <c r="F195" s="60"/>
    </row>
    <row r="196" spans="1:6">
      <c r="A196" s="89" t="s">
        <v>139</v>
      </c>
      <c r="B196" s="90">
        <v>0.43</v>
      </c>
      <c r="C196" s="90">
        <v>0.43</v>
      </c>
      <c r="D196" s="90">
        <v>0.44</v>
      </c>
      <c r="F196" s="60"/>
    </row>
    <row r="197" spans="1:6">
      <c r="A197" s="89" t="s">
        <v>147</v>
      </c>
      <c r="B197" s="90">
        <v>0.25</v>
      </c>
      <c r="C197" s="90">
        <v>0.25</v>
      </c>
      <c r="D197" s="90">
        <v>0.7</v>
      </c>
      <c r="F197" s="60"/>
    </row>
    <row r="198" spans="1:6">
      <c r="A198" s="89" t="s">
        <v>165</v>
      </c>
      <c r="B198" s="90">
        <v>0.35</v>
      </c>
      <c r="C198" s="90">
        <v>0.14000000000000001</v>
      </c>
      <c r="D198" s="90">
        <v>0.53</v>
      </c>
      <c r="F198" s="60"/>
    </row>
    <row r="199" spans="1:6">
      <c r="A199" s="89" t="s">
        <v>166</v>
      </c>
      <c r="B199" s="90">
        <v>0.05</v>
      </c>
      <c r="C199" s="90">
        <v>0.05</v>
      </c>
      <c r="D199" s="90">
        <v>0.05</v>
      </c>
      <c r="F199" s="60"/>
    </row>
    <row r="200" spans="1:6">
      <c r="A200" s="89" t="s">
        <v>167</v>
      </c>
      <c r="B200" s="91" t="s">
        <v>94</v>
      </c>
      <c r="C200" s="91" t="s">
        <v>94</v>
      </c>
      <c r="D200" s="90">
        <v>0.03</v>
      </c>
      <c r="F200" s="60"/>
    </row>
    <row r="201" spans="1:6">
      <c r="A201" s="89" t="s">
        <v>142</v>
      </c>
      <c r="B201" s="91" t="s">
        <v>94</v>
      </c>
      <c r="C201" s="91" t="s">
        <v>94</v>
      </c>
      <c r="D201" s="90">
        <v>0.21</v>
      </c>
      <c r="F201" s="60"/>
    </row>
    <row r="202" spans="1:6">
      <c r="A202" s="5" t="s">
        <v>20</v>
      </c>
      <c r="F202" s="60"/>
    </row>
    <row r="203" spans="1:6">
      <c r="A203" s="63" t="s">
        <v>168</v>
      </c>
      <c r="F203" s="60"/>
    </row>
    <row r="204" spans="1:6" ht="47.25">
      <c r="A204" s="75" t="s">
        <v>169</v>
      </c>
      <c r="B204" s="93" t="s">
        <v>170</v>
      </c>
      <c r="C204" s="93" t="s">
        <v>171</v>
      </c>
      <c r="F204" s="60"/>
    </row>
    <row r="205" spans="1:6" ht="17.25">
      <c r="A205" s="89" t="s">
        <v>172</v>
      </c>
      <c r="B205" s="90">
        <v>0.35</v>
      </c>
      <c r="C205" s="90">
        <v>0.42</v>
      </c>
      <c r="F205" s="60"/>
    </row>
    <row r="206" spans="1:6" ht="17.25">
      <c r="A206" s="89" t="s">
        <v>173</v>
      </c>
      <c r="B206" s="90">
        <v>0.7</v>
      </c>
      <c r="C206" s="90">
        <v>0.84</v>
      </c>
      <c r="F206" s="60"/>
    </row>
    <row r="207" spans="1:6" ht="17.25">
      <c r="A207" s="89" t="s">
        <v>174</v>
      </c>
      <c r="B207" s="90">
        <v>1.76</v>
      </c>
      <c r="C207" s="90">
        <v>1.69</v>
      </c>
      <c r="F207" s="60"/>
    </row>
    <row r="208" spans="1:6">
      <c r="A208" s="89" t="s">
        <v>175</v>
      </c>
      <c r="B208" s="90">
        <v>2.11</v>
      </c>
      <c r="C208" s="90">
        <v>2.11</v>
      </c>
      <c r="F208" s="60"/>
    </row>
    <row r="209" spans="1:6">
      <c r="A209" s="89" t="s">
        <v>176</v>
      </c>
      <c r="B209" s="90">
        <v>3.52</v>
      </c>
      <c r="C209" s="90">
        <v>3.8</v>
      </c>
      <c r="F209" s="60"/>
    </row>
    <row r="210" spans="1:6">
      <c r="A210" s="89" t="s">
        <v>177</v>
      </c>
      <c r="B210" s="90">
        <v>3.87</v>
      </c>
      <c r="C210" s="90">
        <v>4.22</v>
      </c>
      <c r="F210" s="60"/>
    </row>
    <row r="211" spans="1:6">
      <c r="A211" s="89" t="s">
        <v>178</v>
      </c>
      <c r="B211" s="90">
        <v>5.63</v>
      </c>
      <c r="C211" s="90">
        <v>4.22</v>
      </c>
      <c r="F211" s="60"/>
    </row>
    <row r="212" spans="1:6" ht="17.25">
      <c r="A212" s="89" t="s">
        <v>179</v>
      </c>
      <c r="B212" s="90">
        <v>3.87</v>
      </c>
      <c r="C212" s="90">
        <v>4.22</v>
      </c>
      <c r="F212" s="60"/>
    </row>
    <row r="213" spans="1:6">
      <c r="A213" s="92"/>
      <c r="B213" s="58"/>
      <c r="C213" s="59"/>
      <c r="F213" s="60"/>
    </row>
    <row r="214" spans="1:6" ht="48.75" customHeight="1">
      <c r="A214" s="404" t="s">
        <v>180</v>
      </c>
      <c r="B214" s="405"/>
      <c r="C214" s="406"/>
      <c r="F214" s="60"/>
    </row>
    <row r="215" spans="1:6" ht="96.75" customHeight="1">
      <c r="A215" s="404" t="s">
        <v>181</v>
      </c>
      <c r="B215" s="405"/>
      <c r="C215" s="406"/>
      <c r="F215" s="60"/>
    </row>
    <row r="216" spans="1:6" ht="66.75" customHeight="1">
      <c r="A216" s="422" t="s">
        <v>182</v>
      </c>
      <c r="B216" s="423"/>
      <c r="C216" s="424"/>
      <c r="F216" s="60"/>
    </row>
    <row r="217" spans="1:6">
      <c r="A217" s="5" t="s">
        <v>20</v>
      </c>
      <c r="F217" s="60"/>
    </row>
    <row r="218" spans="1:6">
      <c r="A218" s="63" t="s">
        <v>183</v>
      </c>
      <c r="F218" s="60"/>
    </row>
    <row r="219" spans="1:6" ht="47.25">
      <c r="A219" s="75" t="s">
        <v>184</v>
      </c>
      <c r="B219" s="93" t="s">
        <v>185</v>
      </c>
      <c r="C219" s="93" t="s">
        <v>186</v>
      </c>
      <c r="F219" s="60"/>
    </row>
    <row r="220" spans="1:6" ht="17.25">
      <c r="A220" s="89" t="s">
        <v>187</v>
      </c>
      <c r="B220" s="91" t="s">
        <v>188</v>
      </c>
      <c r="C220" s="90">
        <v>8.06</v>
      </c>
      <c r="F220" s="60"/>
    </row>
    <row r="221" spans="1:6" ht="17.25">
      <c r="A221" s="89" t="s">
        <v>189</v>
      </c>
      <c r="B221" s="91" t="s">
        <v>190</v>
      </c>
      <c r="C221" s="90">
        <v>7.18</v>
      </c>
      <c r="F221" s="60"/>
    </row>
    <row r="222" spans="1:6">
      <c r="A222" s="92"/>
      <c r="B222" s="58"/>
      <c r="C222" s="59"/>
      <c r="F222" s="60"/>
    </row>
    <row r="223" spans="1:6" ht="50.25" customHeight="1">
      <c r="A223" s="404" t="s">
        <v>191</v>
      </c>
      <c r="B223" s="405"/>
      <c r="C223" s="406"/>
      <c r="F223" s="60"/>
    </row>
    <row r="224" spans="1:6" ht="51" customHeight="1">
      <c r="A224" s="404" t="s">
        <v>192</v>
      </c>
      <c r="B224" s="405"/>
      <c r="C224" s="406"/>
      <c r="F224" s="60"/>
    </row>
    <row r="225" spans="1:6" ht="49.5" customHeight="1">
      <c r="A225" s="404" t="s">
        <v>193</v>
      </c>
      <c r="B225" s="405"/>
      <c r="C225" s="406"/>
      <c r="F225" s="60"/>
    </row>
    <row r="226" spans="1:6" ht="80.25" customHeight="1">
      <c r="A226" s="422" t="s">
        <v>194</v>
      </c>
      <c r="B226" s="423"/>
      <c r="C226" s="424"/>
      <c r="F226" s="60"/>
    </row>
    <row r="227" spans="1:6">
      <c r="A227" s="5" t="s">
        <v>20</v>
      </c>
      <c r="F227" s="60"/>
    </row>
    <row r="228" spans="1:6">
      <c r="A228" s="63" t="s">
        <v>195</v>
      </c>
      <c r="F228" s="60"/>
    </row>
    <row r="229" spans="1:6" ht="15.75" customHeight="1">
      <c r="A229" s="408" t="s">
        <v>196</v>
      </c>
      <c r="B229" s="419" t="s">
        <v>197</v>
      </c>
      <c r="C229" s="420"/>
      <c r="D229" s="420"/>
      <c r="E229" s="420"/>
      <c r="F229" s="421"/>
    </row>
    <row r="230" spans="1:6" ht="49.5">
      <c r="A230" s="408"/>
      <c r="B230" s="76" t="s">
        <v>198</v>
      </c>
      <c r="C230" s="76" t="s">
        <v>199</v>
      </c>
      <c r="D230" s="76" t="s">
        <v>200</v>
      </c>
      <c r="E230" s="76" t="s">
        <v>201</v>
      </c>
      <c r="F230" s="76" t="s">
        <v>202</v>
      </c>
    </row>
    <row r="231" spans="1:6">
      <c r="A231" s="89" t="s">
        <v>203</v>
      </c>
      <c r="B231" s="94">
        <v>0.14299999999999999</v>
      </c>
      <c r="C231" s="95">
        <v>2E-3</v>
      </c>
      <c r="D231" s="94">
        <v>1.7999999999999999E-2</v>
      </c>
      <c r="E231" s="94" t="s">
        <v>94</v>
      </c>
      <c r="F231" s="94">
        <v>0.11</v>
      </c>
    </row>
    <row r="232" spans="1:6">
      <c r="A232" s="89" t="s">
        <v>204</v>
      </c>
      <c r="B232" s="94">
        <v>0.03</v>
      </c>
      <c r="C232" s="95">
        <v>2.0000000000000001E-4</v>
      </c>
      <c r="D232" s="94">
        <v>0.10199999999999999</v>
      </c>
      <c r="E232" s="94" t="s">
        <v>94</v>
      </c>
      <c r="F232" s="94">
        <v>0.113</v>
      </c>
    </row>
    <row r="233" spans="1:6">
      <c r="A233" s="89" t="s">
        <v>205</v>
      </c>
      <c r="B233" s="94">
        <v>0.12</v>
      </c>
      <c r="C233" s="95">
        <v>1.1000000000000001E-3</v>
      </c>
      <c r="D233" s="94">
        <v>4.2000000000000003E-2</v>
      </c>
      <c r="E233" s="94">
        <v>1.2999999999999999E-2</v>
      </c>
      <c r="F233" s="94">
        <v>0.111</v>
      </c>
    </row>
    <row r="234" spans="1:6">
      <c r="A234" s="89" t="s">
        <v>206</v>
      </c>
      <c r="B234" s="94">
        <v>0.35799999999999998</v>
      </c>
      <c r="C234" s="95">
        <v>4.53E-2</v>
      </c>
      <c r="D234" s="94">
        <v>1.7000000000000001E-2</v>
      </c>
      <c r="E234" s="94" t="s">
        <v>94</v>
      </c>
      <c r="F234" s="94">
        <v>0.314</v>
      </c>
    </row>
    <row r="235" spans="1:6">
      <c r="A235" s="89" t="s">
        <v>207</v>
      </c>
      <c r="B235" s="94">
        <v>7.8E-2</v>
      </c>
      <c r="C235" s="95">
        <v>3.8E-3</v>
      </c>
      <c r="D235" s="94">
        <v>2.9000000000000001E-2</v>
      </c>
      <c r="E235" s="94" t="s">
        <v>94</v>
      </c>
      <c r="F235" s="94">
        <v>0.31</v>
      </c>
    </row>
    <row r="236" spans="1:6">
      <c r="A236" s="89" t="s">
        <v>208</v>
      </c>
      <c r="B236" s="94">
        <v>0.245</v>
      </c>
      <c r="C236" s="95">
        <v>2.2800000000000001E-2</v>
      </c>
      <c r="D236" s="94">
        <v>2.1999999999999999E-2</v>
      </c>
      <c r="E236" s="94">
        <v>3.6999999999999998E-2</v>
      </c>
      <c r="F236" s="94">
        <v>0.312</v>
      </c>
    </row>
    <row r="237" spans="1:6">
      <c r="A237" s="89" t="s">
        <v>209</v>
      </c>
      <c r="B237" s="94">
        <v>0.159</v>
      </c>
      <c r="C237" s="95">
        <v>5.3E-3</v>
      </c>
      <c r="D237" s="94">
        <v>1.7999999999999999E-2</v>
      </c>
      <c r="E237" s="94" t="s">
        <v>94</v>
      </c>
      <c r="F237" s="94">
        <v>0.128</v>
      </c>
    </row>
    <row r="238" spans="1:6">
      <c r="A238" s="89" t="s">
        <v>210</v>
      </c>
      <c r="B238" s="94">
        <v>3.6999999999999998E-2</v>
      </c>
      <c r="C238" s="95">
        <v>6.9999999999999999E-4</v>
      </c>
      <c r="D238" s="94">
        <v>9.0999999999999998E-2</v>
      </c>
      <c r="E238" s="94" t="s">
        <v>94</v>
      </c>
      <c r="F238" s="94">
        <v>0.14499999999999999</v>
      </c>
    </row>
    <row r="239" spans="1:6">
      <c r="A239" s="89" t="s">
        <v>211</v>
      </c>
      <c r="B239" s="94">
        <v>0.13300000000000001</v>
      </c>
      <c r="C239" s="95">
        <v>3.2000000000000002E-3</v>
      </c>
      <c r="D239" s="94">
        <v>0.04</v>
      </c>
      <c r="E239" s="94">
        <v>1.4999999999999999E-2</v>
      </c>
      <c r="F239" s="94">
        <v>0.13300000000000001</v>
      </c>
    </row>
    <row r="240" spans="1:6">
      <c r="A240" s="92"/>
      <c r="B240" s="58"/>
      <c r="C240" s="58"/>
      <c r="D240" s="59"/>
      <c r="F240" s="60"/>
    </row>
    <row r="241" spans="1:6" ht="32.1" customHeight="1">
      <c r="A241" s="404" t="s">
        <v>212</v>
      </c>
      <c r="B241" s="405"/>
      <c r="C241" s="405"/>
      <c r="D241" s="405"/>
      <c r="E241" s="405"/>
      <c r="F241" s="406"/>
    </row>
    <row r="242" spans="1:6" ht="32.450000000000003" customHeight="1">
      <c r="A242" s="412" t="s">
        <v>213</v>
      </c>
      <c r="B242" s="412"/>
      <c r="C242" s="412"/>
      <c r="D242" s="412"/>
      <c r="E242" s="412"/>
      <c r="F242" s="413"/>
    </row>
  </sheetData>
  <mergeCells count="35">
    <mergeCell ref="A20:B20"/>
    <mergeCell ref="A21:B21"/>
    <mergeCell ref="A36:B36"/>
    <mergeCell ref="A37:B37"/>
    <mergeCell ref="A160:B160"/>
    <mergeCell ref="A38:B38"/>
    <mergeCell ref="A39:B39"/>
    <mergeCell ref="A40:B40"/>
    <mergeCell ref="A49:B49"/>
    <mergeCell ref="A56:B56"/>
    <mergeCell ref="A57:B57"/>
    <mergeCell ref="A111:E111"/>
    <mergeCell ref="A112:E112"/>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25:C225"/>
    <mergeCell ref="B163:D163"/>
    <mergeCell ref="A163:A164"/>
    <mergeCell ref="A148:B148"/>
    <mergeCell ref="A149:B149"/>
    <mergeCell ref="A159:B159"/>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B10"/>
  <sheetViews>
    <sheetView workbookViewId="0">
      <selection activeCell="A19" sqref="A19"/>
    </sheetView>
  </sheetViews>
  <sheetFormatPr defaultColWidth="8.7109375" defaultRowHeight="15"/>
  <cols>
    <col min="1" max="1" width="56.28515625" style="5" customWidth="1"/>
    <col min="2" max="16384" width="8.7109375" style="5"/>
  </cols>
  <sheetData>
    <row r="1" spans="1:2" ht="20.25" thickBot="1">
      <c r="A1" s="96" t="s">
        <v>19</v>
      </c>
    </row>
    <row r="2" spans="1:2" ht="15.75" thickTop="1">
      <c r="A2" s="5" t="s">
        <v>20</v>
      </c>
    </row>
    <row r="3" spans="1:2">
      <c r="A3" s="97" t="s">
        <v>21</v>
      </c>
    </row>
    <row r="4" spans="1:2">
      <c r="A4" s="100" t="s">
        <v>22</v>
      </c>
      <c r="B4" s="101" t="s">
        <v>23</v>
      </c>
    </row>
    <row r="5" spans="1:2">
      <c r="A5" s="43" t="s">
        <v>17</v>
      </c>
      <c r="B5" s="98">
        <f>Overview!B22</f>
        <v>2023</v>
      </c>
    </row>
    <row r="6" spans="1:2">
      <c r="A6" s="43" t="s">
        <v>24</v>
      </c>
      <c r="B6" s="23">
        <v>2030</v>
      </c>
    </row>
    <row r="7" spans="1:2">
      <c r="A7" s="43" t="s">
        <v>25</v>
      </c>
      <c r="B7" s="23">
        <v>2</v>
      </c>
    </row>
    <row r="8" spans="1:2">
      <c r="A8" s="43" t="s">
        <v>26</v>
      </c>
      <c r="B8" s="98">
        <f>B6+B7</f>
        <v>2032</v>
      </c>
    </row>
    <row r="9" spans="1:2">
      <c r="A9" s="43" t="s">
        <v>27</v>
      </c>
      <c r="B9" s="23">
        <v>20</v>
      </c>
    </row>
    <row r="10" spans="1:2">
      <c r="A10" s="43" t="s">
        <v>28</v>
      </c>
      <c r="B10" s="99">
        <f>B6+B7+B9-1</f>
        <v>2051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2"/>
  <sheetViews>
    <sheetView topLeftCell="J1" workbookViewId="0">
      <selection activeCell="B37" sqref="B37"/>
    </sheetView>
  </sheetViews>
  <sheetFormatPr defaultRowHeight="15"/>
  <cols>
    <col min="1" max="1" width="30.140625" customWidth="1"/>
    <col min="2" max="5" width="20.7109375" customWidth="1"/>
    <col min="6" max="6" width="16.5703125" customWidth="1"/>
    <col min="7" max="7" width="17.42578125" customWidth="1"/>
    <col min="8" max="8" width="21.140625" customWidth="1"/>
    <col min="9" max="9" width="16.140625" customWidth="1"/>
    <col min="10" max="10" width="16.85546875" customWidth="1"/>
    <col min="11" max="11" width="17.28515625" customWidth="1"/>
    <col min="12" max="12" width="16.85546875" customWidth="1"/>
    <col min="13" max="13" width="17.28515625" customWidth="1"/>
    <col min="14" max="20" width="9.140625" style="5"/>
    <col min="21" max="21" width="12.85546875" style="5" customWidth="1"/>
    <col min="22" max="76" width="9.140625" style="5"/>
  </cols>
  <sheetData>
    <row r="1" spans="1:62" ht="20.25" thickBot="1">
      <c r="A1" s="96" t="s">
        <v>214</v>
      </c>
      <c r="B1" s="5"/>
      <c r="C1" s="5"/>
      <c r="D1" s="5"/>
      <c r="E1" s="5"/>
      <c r="F1" s="5"/>
      <c r="G1" s="5"/>
      <c r="H1" s="5"/>
      <c r="I1" s="5"/>
      <c r="J1" s="5"/>
      <c r="K1" s="5"/>
      <c r="L1" s="5"/>
      <c r="M1" s="5"/>
    </row>
    <row r="2" spans="1:62" ht="15.75" thickTop="1">
      <c r="A2" s="5" t="s">
        <v>20</v>
      </c>
      <c r="B2" s="5"/>
      <c r="C2" s="5"/>
      <c r="D2" s="5"/>
      <c r="E2" s="5"/>
      <c r="F2" s="5"/>
      <c r="G2" s="5"/>
      <c r="H2" s="5"/>
      <c r="I2" s="5"/>
      <c r="J2" s="5"/>
      <c r="K2" s="5"/>
      <c r="L2" s="5"/>
      <c r="M2" s="5"/>
    </row>
    <row r="3" spans="1:62" ht="15.75" thickBot="1">
      <c r="A3" s="145" t="s">
        <v>215</v>
      </c>
      <c r="B3" s="5" t="s">
        <v>447</v>
      </c>
      <c r="C3" s="5"/>
      <c r="D3" s="181">
        <v>1.2999999999999999E-2</v>
      </c>
      <c r="E3" s="5"/>
      <c r="F3" s="5"/>
      <c r="G3" s="5"/>
      <c r="H3" s="5"/>
      <c r="I3" s="5"/>
      <c r="J3" s="5"/>
      <c r="K3" s="5"/>
      <c r="L3" s="5"/>
      <c r="M3" s="5"/>
    </row>
    <row r="4" spans="1:62">
      <c r="A4" s="5"/>
      <c r="B4" s="438" t="s">
        <v>570</v>
      </c>
      <c r="C4" s="437"/>
      <c r="D4" s="436" t="s">
        <v>216</v>
      </c>
      <c r="E4" s="437"/>
      <c r="F4" s="436" t="s">
        <v>217</v>
      </c>
      <c r="G4" s="437"/>
      <c r="H4" s="436" t="s">
        <v>218</v>
      </c>
      <c r="I4" s="437"/>
      <c r="J4" s="436" t="s">
        <v>219</v>
      </c>
      <c r="K4" s="437"/>
      <c r="L4" s="436" t="s">
        <v>220</v>
      </c>
      <c r="M4" s="437"/>
      <c r="O4" s="10" t="s">
        <v>221</v>
      </c>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2"/>
    </row>
    <row r="5" spans="1:62">
      <c r="A5" s="102" t="s">
        <v>222</v>
      </c>
      <c r="B5" s="103" t="s">
        <v>223</v>
      </c>
      <c r="C5" s="103" t="s">
        <v>224</v>
      </c>
      <c r="D5" s="103" t="s">
        <v>223</v>
      </c>
      <c r="E5" s="103" t="s">
        <v>224</v>
      </c>
      <c r="F5" s="103" t="s">
        <v>223</v>
      </c>
      <c r="G5" s="103" t="s">
        <v>224</v>
      </c>
      <c r="H5" s="103" t="s">
        <v>223</v>
      </c>
      <c r="I5" s="103" t="s">
        <v>224</v>
      </c>
      <c r="J5" s="103" t="s">
        <v>223</v>
      </c>
      <c r="K5" s="103" t="s">
        <v>224</v>
      </c>
      <c r="L5" s="103" t="s">
        <v>223</v>
      </c>
      <c r="M5" s="103" t="s">
        <v>224</v>
      </c>
      <c r="O5" s="13"/>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s="14"/>
    </row>
    <row r="6" spans="1:62">
      <c r="A6" s="6">
        <f>'Project Information'!$B$8</f>
        <v>2032</v>
      </c>
      <c r="B6" s="322">
        <f>'Population and Mode Share Proj.'!E35</f>
        <v>12412571.428571429</v>
      </c>
      <c r="C6" s="322">
        <f>B6-('Population and Mode Share Proj.'!W35+'Population and Mode Share Proj.'!X35)</f>
        <v>12406004.591212099</v>
      </c>
      <c r="D6" s="322">
        <v>0</v>
      </c>
      <c r="E6" s="322">
        <v>0</v>
      </c>
      <c r="F6" s="322">
        <f>'Population and Mode Share Proj.'!I35+'Population and Mode Share Proj.'!J35</f>
        <v>308574.06212295906</v>
      </c>
      <c r="G6" s="322">
        <f>'Population and Mode Share Proj.'!Q35+'Population and Mode Share Proj.'!P35</f>
        <v>315755.76165523194</v>
      </c>
      <c r="H6" s="322">
        <f>'Population and Mode Share Proj.'!L34+'Population and Mode Share Proj.'!M34</f>
        <v>0</v>
      </c>
      <c r="I6" s="322">
        <f>'Population and Mode Share Proj.'!T34+'Population and Mode Share Proj.'!U34</f>
        <v>0</v>
      </c>
      <c r="J6" s="41">
        <v>0</v>
      </c>
      <c r="K6" s="41">
        <v>0</v>
      </c>
      <c r="L6" s="41">
        <v>0</v>
      </c>
      <c r="M6" s="41">
        <v>0</v>
      </c>
      <c r="O6" s="13"/>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s="14"/>
    </row>
    <row r="7" spans="1:62">
      <c r="A7" s="1">
        <f>IF(A6&lt;'Project Information'!B$10,A6+1,"")</f>
        <v>2033</v>
      </c>
      <c r="B7" s="322">
        <f>'Population and Mode Share Proj.'!E36</f>
        <v>12412857.142857144</v>
      </c>
      <c r="C7" s="322">
        <f>B7-('Population and Mode Share Proj.'!W36+'Population and Mode Share Proj.'!X36)</f>
        <v>12405879.18449665</v>
      </c>
      <c r="D7" s="322">
        <v>0</v>
      </c>
      <c r="E7" s="322">
        <v>0</v>
      </c>
      <c r="F7" s="322">
        <f>'Population and Mode Share Proj.'!I36+'Population and Mode Share Proj.'!J36</f>
        <v>312585.52493055747</v>
      </c>
      <c r="G7" s="322">
        <f>'Population and Mode Share Proj.'!Q36+'Population and Mode Share Proj.'!P36</f>
        <v>320213.59037607221</v>
      </c>
      <c r="H7" s="322">
        <f>'Population and Mode Share Proj.'!L35+'Population and Mode Share Proj.'!M35</f>
        <v>0</v>
      </c>
      <c r="I7" s="322">
        <f>'Population and Mode Share Proj.'!T35+'Population and Mode Share Proj.'!U35</f>
        <v>0</v>
      </c>
      <c r="J7" s="41">
        <v>0</v>
      </c>
      <c r="K7" s="41">
        <v>0</v>
      </c>
      <c r="L7" s="41">
        <v>0</v>
      </c>
      <c r="M7" s="41">
        <v>0</v>
      </c>
      <c r="O7" s="13"/>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s="14"/>
    </row>
    <row r="8" spans="1:62">
      <c r="A8" s="1">
        <f>IF(A7&lt;'Project Information'!B$10,A7+1,"")</f>
        <v>2034</v>
      </c>
      <c r="B8" s="322">
        <f>'Population and Mode Share Proj.'!E37</f>
        <v>12413142.857142856</v>
      </c>
      <c r="C8" s="322">
        <f>B8-('Population and Mode Share Proj.'!W37+'Population and Mode Share Proj.'!X37)</f>
        <v>12405711.432551514</v>
      </c>
      <c r="D8" s="322">
        <v>0</v>
      </c>
      <c r="E8" s="322">
        <v>0</v>
      </c>
      <c r="F8" s="322">
        <f>'Population and Mode Share Proj.'!I37+'Population and Mode Share Proj.'!J37</f>
        <v>316649.13675465476</v>
      </c>
      <c r="G8" s="322">
        <f>'Population and Mode Share Proj.'!Q37+'Population and Mode Share Proj.'!P37</f>
        <v>324768.90805685881</v>
      </c>
      <c r="H8" s="322">
        <f>'Population and Mode Share Proj.'!L36+'Population and Mode Share Proj.'!M36</f>
        <v>0</v>
      </c>
      <c r="I8" s="322">
        <f>'Population and Mode Share Proj.'!T36+'Population and Mode Share Proj.'!U36</f>
        <v>0</v>
      </c>
      <c r="J8" s="41">
        <v>0</v>
      </c>
      <c r="K8" s="41">
        <v>0</v>
      </c>
      <c r="L8" s="41">
        <v>0</v>
      </c>
      <c r="M8" s="41">
        <v>0</v>
      </c>
      <c r="O8" s="13"/>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s="14"/>
    </row>
    <row r="9" spans="1:62">
      <c r="A9" s="1">
        <f>IF(A8&lt;'Project Information'!B$10,A8+1,"")</f>
        <v>2035</v>
      </c>
      <c r="B9" s="322">
        <f>'Population and Mode Share Proj.'!E38</f>
        <v>12413428.571428571</v>
      </c>
      <c r="C9" s="322">
        <f>B9-('Population and Mode Share Proj.'!W38+'Population and Mode Share Proj.'!X38)</f>
        <v>12405494.020540988</v>
      </c>
      <c r="D9" s="322">
        <v>0</v>
      </c>
      <c r="E9" s="322">
        <v>0</v>
      </c>
      <c r="F9" s="322">
        <f>'Population and Mode Share Proj.'!I38+'Population and Mode Share Proj.'!J38</f>
        <v>320765.57553246518</v>
      </c>
      <c r="G9" s="322">
        <f>'Population and Mode Share Proj.'!Q38+'Population and Mode Share Proj.'!P38</f>
        <v>329430.19785669475</v>
      </c>
      <c r="H9" s="322">
        <f>'Population and Mode Share Proj.'!L37+'Population and Mode Share Proj.'!M37</f>
        <v>0</v>
      </c>
      <c r="I9" s="322">
        <f>'Population and Mode Share Proj.'!T37+'Population and Mode Share Proj.'!U37</f>
        <v>0</v>
      </c>
      <c r="J9" s="41">
        <v>0</v>
      </c>
      <c r="K9" s="41">
        <v>0</v>
      </c>
      <c r="L9" s="41">
        <v>0</v>
      </c>
      <c r="M9" s="41">
        <v>0</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c r="A10" s="1">
        <f>IF(A9&lt;'Project Information'!B$10,A9+1,"")</f>
        <v>2036</v>
      </c>
      <c r="B10" s="322">
        <f>'Population and Mode Share Proj.'!E39</f>
        <v>12413714.285714285</v>
      </c>
      <c r="C10" s="322">
        <f>B10-('Population and Mode Share Proj.'!W39+'Population and Mode Share Proj.'!X39)</f>
        <v>12405217.809388414</v>
      </c>
      <c r="D10" s="322">
        <v>0</v>
      </c>
      <c r="E10" s="322">
        <v>0</v>
      </c>
      <c r="F10" s="322">
        <f>'Population and Mode Share Proj.'!I39+'Population and Mode Share Proj.'!J39</f>
        <v>324935.5280143873</v>
      </c>
      <c r="G10" s="322">
        <f>'Population and Mode Share Proj.'!Q39+'Population and Mode Share Proj.'!P39</f>
        <v>334207.89753995801</v>
      </c>
      <c r="H10" s="322">
        <f>'Population and Mode Share Proj.'!L38+'Population and Mode Share Proj.'!M38</f>
        <v>0</v>
      </c>
      <c r="I10" s="322">
        <f>'Population and Mode Share Proj.'!T38+'Population and Mode Share Proj.'!U38</f>
        <v>0</v>
      </c>
      <c r="J10" s="41">
        <v>0</v>
      </c>
      <c r="K10" s="41">
        <v>0</v>
      </c>
      <c r="L10" s="41">
        <v>0</v>
      </c>
      <c r="M10" s="41">
        <v>0</v>
      </c>
      <c r="O10" s="13"/>
      <c r="P10"/>
      <c r="Q10"/>
      <c r="R10" t="s">
        <v>808</v>
      </c>
      <c r="S10"/>
      <c r="T10"/>
      <c r="U10" t="s">
        <v>810</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c r="A11" s="1">
        <f>IF(A10&lt;'Project Information'!B$10,A10+1,"")</f>
        <v>2037</v>
      </c>
      <c r="B11" s="322">
        <f>'Population and Mode Share Proj.'!E40</f>
        <v>12414000</v>
      </c>
      <c r="C11" s="322">
        <f>B11-('Population and Mode Share Proj.'!W40+'Population and Mode Share Proj.'!X40)</f>
        <v>12404871.227799825</v>
      </c>
      <c r="D11" s="322">
        <v>0</v>
      </c>
      <c r="E11" s="322">
        <v>0</v>
      </c>
      <c r="F11" s="322">
        <f>'Population and Mode Share Proj.'!I40+'Population and Mode Share Proj.'!J40</f>
        <v>329159.68987857428</v>
      </c>
      <c r="G11" s="322">
        <f>'Population and Mode Share Proj.'!Q40+'Population and Mode Share Proj.'!P40</f>
        <v>339115.04806024779</v>
      </c>
      <c r="H11" s="322">
        <f>'Population and Mode Share Proj.'!L39+'Population and Mode Share Proj.'!M39</f>
        <v>0</v>
      </c>
      <c r="I11" s="322">
        <f>'Population and Mode Share Proj.'!T39+'Population and Mode Share Proj.'!U39</f>
        <v>0</v>
      </c>
      <c r="J11" s="41">
        <v>0</v>
      </c>
      <c r="K11" s="41">
        <v>0</v>
      </c>
      <c r="L11" s="41">
        <v>0</v>
      </c>
      <c r="M11" s="41">
        <v>0</v>
      </c>
      <c r="O11" s="13"/>
      <c r="P11"/>
      <c r="Q11"/>
      <c r="R11" s="5">
        <v>2023</v>
      </c>
      <c r="S11" s="369">
        <v>239514</v>
      </c>
      <c r="T11"/>
      <c r="U11" t="s">
        <v>811</v>
      </c>
      <c r="V11">
        <f>(S12-S11)/(R12-R11)</f>
        <v>3300.4444444444443</v>
      </c>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c r="A12" s="1">
        <f>IF(A11&lt;'Project Information'!B$10,A11+1,"")</f>
        <v>2038</v>
      </c>
      <c r="B12" s="322">
        <f>'Population and Mode Share Proj.'!E41</f>
        <v>12414285.714285715</v>
      </c>
      <c r="C12" s="322">
        <f>B12-('Population and Mode Share Proj.'!W41+'Population and Mode Share Proj.'!X41)</f>
        <v>12404439.403728465</v>
      </c>
      <c r="D12" s="322">
        <v>0</v>
      </c>
      <c r="E12" s="322">
        <v>0</v>
      </c>
      <c r="F12" s="322">
        <f>'Population and Mode Share Proj.'!I41+'Population and Mode Share Proj.'!J41</f>
        <v>333438.76584699575</v>
      </c>
      <c r="G12" s="322">
        <f>'Population and Mode Share Proj.'!Q41+'Population and Mode Share Proj.'!P41</f>
        <v>344168.22005859204</v>
      </c>
      <c r="H12" s="322">
        <f>'Population and Mode Share Proj.'!L40+'Population and Mode Share Proj.'!M40</f>
        <v>0</v>
      </c>
      <c r="I12" s="322">
        <f>'Population and Mode Share Proj.'!T40+'Population and Mode Share Proj.'!U40</f>
        <v>0</v>
      </c>
      <c r="J12" s="41">
        <v>0</v>
      </c>
      <c r="K12" s="41">
        <v>0</v>
      </c>
      <c r="L12" s="41">
        <v>0</v>
      </c>
      <c r="M12" s="41">
        <v>0</v>
      </c>
      <c r="O12" s="13"/>
      <c r="P12"/>
      <c r="Q12"/>
      <c r="R12">
        <v>2050</v>
      </c>
      <c r="S12" s="369">
        <v>328626</v>
      </c>
      <c r="T12"/>
      <c r="U12" s="5" t="s">
        <v>812</v>
      </c>
      <c r="V12">
        <f>(V11/S11)</f>
        <v>1.3779755857463214E-2</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c r="A13" s="1">
        <f>IF(A12&lt;'Project Information'!B$10,A12+1,"")</f>
        <v>2039</v>
      </c>
      <c r="B13" s="322">
        <f>'Population and Mode Share Proj.'!E42</f>
        <v>12414571.428571429</v>
      </c>
      <c r="C13" s="322">
        <f>B13-('Population and Mode Share Proj.'!W42+'Population and Mode Share Proj.'!X42)</f>
        <v>12403902.89497916</v>
      </c>
      <c r="D13" s="322">
        <v>0</v>
      </c>
      <c r="E13" s="322">
        <v>0</v>
      </c>
      <c r="F13" s="322">
        <f>'Population and Mode Share Proj.'!I42+'Population and Mode Share Proj.'!J42</f>
        <v>337773.46980300668</v>
      </c>
      <c r="G13" s="322">
        <f>'Population and Mode Share Proj.'!Q42+'Population and Mode Share Proj.'!P42</f>
        <v>349388.86792121828</v>
      </c>
      <c r="H13" s="322">
        <f>'Population and Mode Share Proj.'!L41+'Population and Mode Share Proj.'!M41</f>
        <v>0</v>
      </c>
      <c r="I13" s="322">
        <f>'Population and Mode Share Proj.'!T41+'Population and Mode Share Proj.'!U41</f>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c r="A14" s="1">
        <f>IF(A13&lt;'Project Information'!B$10,A13+1,"")</f>
        <v>2040</v>
      </c>
      <c r="B14" s="322">
        <f>'Population and Mode Share Proj.'!E43</f>
        <v>12414857.142857144</v>
      </c>
      <c r="C14" s="322">
        <f>B14-('Population and Mode Share Proj.'!W43+'Population and Mode Share Proj.'!X43)</f>
        <v>12403235.785117526</v>
      </c>
      <c r="D14" s="322">
        <v>0</v>
      </c>
      <c r="E14" s="322">
        <v>0</v>
      </c>
      <c r="F14" s="322">
        <f>'Population and Mode Share Proj.'!I43+'Population and Mode Share Proj.'!J43</f>
        <v>342164.52491044573</v>
      </c>
      <c r="G14" s="322">
        <f>'Population and Mode Share Proj.'!Q43+'Population and Mode Share Proj.'!P43</f>
        <v>354805.36080571811</v>
      </c>
      <c r="H14" s="322">
        <f>'Population and Mode Share Proj.'!L42+'Population and Mode Share Proj.'!M42</f>
        <v>0</v>
      </c>
      <c r="I14" s="322">
        <f>'Population and Mode Share Proj.'!T42+'Population and Mode Share Proj.'!U42</f>
        <v>0</v>
      </c>
      <c r="J14" s="41">
        <v>0</v>
      </c>
      <c r="K14" s="41">
        <v>0</v>
      </c>
      <c r="L14" s="41">
        <v>0</v>
      </c>
      <c r="M14" s="41">
        <v>0</v>
      </c>
      <c r="O14" s="13"/>
      <c r="P14"/>
      <c r="Q14"/>
      <c r="R14" s="370" t="s">
        <v>809</v>
      </c>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c r="A15" s="1">
        <f>IF(A14&lt;'Project Information'!B$10,A14+1,"")</f>
        <v>2041</v>
      </c>
      <c r="B15" s="322">
        <f>'Population and Mode Share Proj.'!E44</f>
        <v>12415142.857142856</v>
      </c>
      <c r="C15" s="322">
        <f>B15-('Population and Mode Share Proj.'!W44+'Population and Mode Share Proj.'!X44)</f>
        <v>12402402.740787096</v>
      </c>
      <c r="D15" s="322">
        <v>0</v>
      </c>
      <c r="E15" s="322">
        <v>0</v>
      </c>
      <c r="F15" s="322">
        <f>'Population and Mode Share Proj.'!I44+'Population and Mode Share Proj.'!J44</f>
        <v>346612.66373428155</v>
      </c>
      <c r="G15" s="322">
        <f>'Population and Mode Share Proj.'!Q44+'Population and Mode Share Proj.'!P44</f>
        <v>360456.12143265398</v>
      </c>
      <c r="H15" s="322">
        <f>'Population and Mode Share Proj.'!L43+'Population and Mode Share Proj.'!M43</f>
        <v>0</v>
      </c>
      <c r="I15" s="322">
        <f>'Population and Mode Share Proj.'!T43+'Population and Mode Share Proj.'!U43</f>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c r="A16" s="1">
        <f>IF(A15&lt;'Project Information'!B$10,A15+1,"")</f>
        <v>2042</v>
      </c>
      <c r="B16" s="322">
        <f>'Population and Mode Share Proj.'!E45</f>
        <v>12415428.571428571</v>
      </c>
      <c r="C16" s="322">
        <f>B16-('Population and Mode Share Proj.'!W45+'Population and Mode Share Proj.'!X45)</f>
        <v>12401354.303420039</v>
      </c>
      <c r="D16" s="322">
        <v>0</v>
      </c>
      <c r="E16" s="322">
        <v>0</v>
      </c>
      <c r="F16" s="322">
        <f>'Population and Mode Share Proj.'!I45+'Population and Mode Share Proj.'!J45</f>
        <v>351118.62836282718</v>
      </c>
      <c r="G16" s="322">
        <f>'Population and Mode Share Proj.'!Q45+'Population and Mode Share Proj.'!P45</f>
        <v>366394.6480772869</v>
      </c>
      <c r="H16" s="322">
        <f>'Population and Mode Share Proj.'!L44+'Population and Mode Share Proj.'!M44</f>
        <v>0</v>
      </c>
      <c r="I16" s="322">
        <f>'Population and Mode Share Proj.'!T44+'Population and Mode Share Proj.'!U44</f>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c r="A17" s="1">
        <f>IF(A16&lt;'Project Information'!B$10,A16+1,"")</f>
        <v>2043</v>
      </c>
      <c r="B17" s="322">
        <f>'Population and Mode Share Proj.'!E46</f>
        <v>12415714.285714285</v>
      </c>
      <c r="C17" s="322">
        <f>B17-('Population and Mode Share Proj.'!W46+'Population and Mode Share Proj.'!X46)</f>
        <v>12400019.042091997</v>
      </c>
      <c r="D17" s="322">
        <v>0</v>
      </c>
      <c r="E17" s="322">
        <v>0</v>
      </c>
      <c r="F17" s="322">
        <f>'Population and Mode Share Proj.'!I46+'Population and Mode Share Proj.'!J46</f>
        <v>355683.17053154384</v>
      </c>
      <c r="G17" s="322">
        <f>'Population and Mode Share Proj.'!Q46+'Population and Mode Share Proj.'!P46</f>
        <v>372697.88447134302</v>
      </c>
      <c r="H17" s="322">
        <f>'Population and Mode Share Proj.'!L45+'Population and Mode Share Proj.'!M45</f>
        <v>0</v>
      </c>
      <c r="I17" s="322">
        <f>'Population and Mode Share Proj.'!T45+'Population and Mode Share Proj.'!U45</f>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c r="A18" s="1">
        <f>IF(A17&lt;'Project Information'!B$10,A17+1,"")</f>
        <v>2044</v>
      </c>
      <c r="B18" s="322">
        <f>'Population and Mode Share Proj.'!E47</f>
        <v>12416000</v>
      </c>
      <c r="C18" s="322">
        <f>B18-('Population and Mode Share Proj.'!W47+'Population and Mode Share Proj.'!X47)</f>
        <v>12398289.821022367</v>
      </c>
      <c r="D18" s="322">
        <v>0</v>
      </c>
      <c r="E18" s="322">
        <v>0</v>
      </c>
      <c r="F18" s="322">
        <f>'Population and Mode Share Proj.'!I47+'Population and Mode Share Proj.'!J47</f>
        <v>360307.05174845399</v>
      </c>
      <c r="G18" s="322">
        <f>'Population and Mode Share Proj.'!Q47+'Population and Mode Share Proj.'!P47</f>
        <v>379480.8670346475</v>
      </c>
      <c r="H18" s="322">
        <f>'Population and Mode Share Proj.'!L46+'Population and Mode Share Proj.'!M46</f>
        <v>0</v>
      </c>
      <c r="I18" s="322">
        <f>'Population and Mode Share Proj.'!T46+'Population and Mode Share Proj.'!U46</f>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c r="A19" s="1">
        <f>IF(A18&lt;'Project Information'!B$10,A18+1,"")</f>
        <v>2045</v>
      </c>
      <c r="B19" s="322">
        <f>'Population and Mode Share Proj.'!E48</f>
        <v>12416285.714285715</v>
      </c>
      <c r="C19" s="322">
        <f>B19-('Population and Mode Share Proj.'!W48+'Population and Mode Share Proj.'!X48)</f>
        <v>12395998.296365419</v>
      </c>
      <c r="D19" s="322">
        <v>0</v>
      </c>
      <c r="E19" s="322">
        <v>0</v>
      </c>
      <c r="F19" s="322">
        <f>'Population and Mode Share Proj.'!I48+'Population and Mode Share Proj.'!J48</f>
        <v>364991.04342118383</v>
      </c>
      <c r="G19" s="322">
        <f>'Population and Mode Share Proj.'!Q48+'Population and Mode Share Proj.'!P48</f>
        <v>386923.92676479171</v>
      </c>
      <c r="H19" s="322">
        <f>'Population and Mode Share Proj.'!L47+'Population and Mode Share Proj.'!M47</f>
        <v>0</v>
      </c>
      <c r="I19" s="322">
        <f>'Population and Mode Share Proj.'!T47+'Population and Mode Share Proj.'!U47</f>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c r="A20" s="1">
        <f>IF(A19&lt;'Project Information'!B$10,A19+1,"")</f>
        <v>2046</v>
      </c>
      <c r="B20" s="322">
        <f>'Population and Mode Share Proj.'!E49</f>
        <v>12416571.428571429</v>
      </c>
      <c r="C20" s="322">
        <f>B20-('Population and Mode Share Proj.'!W49+'Population and Mode Share Proj.'!X49)</f>
        <v>12392863.909798432</v>
      </c>
      <c r="D20" s="322">
        <v>0</v>
      </c>
      <c r="E20" s="322">
        <v>0</v>
      </c>
      <c r="F20" s="322">
        <f>'Population and Mode Share Proj.'!I49+'Population and Mode Share Proj.'!J49</f>
        <v>369735.92698565929</v>
      </c>
      <c r="G20" s="322">
        <f>'Population and Mode Share Proj.'!Q49+'Population and Mode Share Proj.'!P49</f>
        <v>395327.09288386744</v>
      </c>
      <c r="H20" s="322">
        <f>'Population and Mode Share Proj.'!L48+'Population and Mode Share Proj.'!M48</f>
        <v>0</v>
      </c>
      <c r="I20" s="322">
        <f>'Population and Mode Share Proj.'!T48+'Population and Mode Share Proj.'!U48</f>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c r="A21" s="1">
        <f>IF(A20&lt;'Project Information'!B$10,A20+1,"")</f>
        <v>2047</v>
      </c>
      <c r="B21" s="322">
        <f>'Population and Mode Share Proj.'!E50</f>
        <v>12416857.142857144</v>
      </c>
      <c r="C21" s="322">
        <f>B21-('Population and Mode Share Proj.'!W50+'Population and Mode Share Proj.'!X50)</f>
        <v>12388381.674422728</v>
      </c>
      <c r="D21" s="322">
        <v>0</v>
      </c>
      <c r="E21" s="322">
        <v>0</v>
      </c>
      <c r="F21" s="322">
        <f>'Population and Mode Share Proj.'!I50+'Population and Mode Share Proj.'!J50</f>
        <v>374542.49403647275</v>
      </c>
      <c r="G21" s="322">
        <f>'Population and Mode Share Proj.'!Q50+'Population and Mode Share Proj.'!P50</f>
        <v>405229.78069970955</v>
      </c>
      <c r="H21" s="322">
        <f>'Population and Mode Share Proj.'!L49+'Population and Mode Share Proj.'!M49</f>
        <v>0</v>
      </c>
      <c r="I21" s="322">
        <f>'Population and Mode Share Proj.'!T49+'Population and Mode Share Proj.'!U49</f>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c r="A22" s="1">
        <f>IF(A21&lt;'Project Information'!B$10,A21+1,"")</f>
        <v>2048</v>
      </c>
      <c r="B22" s="322">
        <f>'Population and Mode Share Proj.'!E51</f>
        <v>12417142.857142856</v>
      </c>
      <c r="C22" s="322">
        <f>B22-('Population and Mode Share Proj.'!W51+'Population and Mode Share Proj.'!X51)</f>
        <v>12381541.639525399</v>
      </c>
      <c r="D22" s="322">
        <v>0</v>
      </c>
      <c r="E22" s="322">
        <v>0</v>
      </c>
      <c r="F22" s="322">
        <f>'Population and Mode Share Proj.'!I51+'Population and Mode Share Proj.'!J51</f>
        <v>379411.54645894689</v>
      </c>
      <c r="G22" s="322">
        <f>'Population and Mode Share Proj.'!Q51+'Population and Mode Share Proj.'!P51</f>
        <v>417710.01105394022</v>
      </c>
      <c r="H22" s="322">
        <f>'Population and Mode Share Proj.'!L50+'Population and Mode Share Proj.'!M50</f>
        <v>0</v>
      </c>
      <c r="I22" s="322">
        <f>'Population and Mode Share Proj.'!T50+'Population and Mode Share Proj.'!U50</f>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c r="A23" s="1">
        <f>IF(A22&lt;'Project Information'!B$10,A22+1,"")</f>
        <v>2049</v>
      </c>
      <c r="B23" s="322">
        <f>'Population and Mode Share Proj.'!E52</f>
        <v>12417428.571428571</v>
      </c>
      <c r="C23" s="322">
        <f>B23-('Population and Mode Share Proj.'!W52+'Population and Mode Share Proj.'!X52)</f>
        <v>12369987.284876853</v>
      </c>
      <c r="D23" s="322">
        <v>0</v>
      </c>
      <c r="E23" s="322">
        <v>0</v>
      </c>
      <c r="F23" s="322">
        <f>'Population and Mode Share Proj.'!I52+'Population and Mode Share Proj.'!J52</f>
        <v>384343.8965629132</v>
      </c>
      <c r="G23" s="322">
        <f>'Population and Mode Share Proj.'!Q52+'Population and Mode Share Proj.'!P52</f>
        <v>435282.06838847056</v>
      </c>
      <c r="H23" s="322">
        <f>'Population and Mode Share Proj.'!L51+'Population and Mode Share Proj.'!M51</f>
        <v>0</v>
      </c>
      <c r="I23" s="322">
        <f>'Population and Mode Share Proj.'!T51+'Population and Mode Share Proj.'!U51</f>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c r="A24" s="1">
        <f>IF(A23&lt;'Project Information'!B$10,A23+1,"")</f>
        <v>2050</v>
      </c>
      <c r="B24" s="322">
        <f>'Population and Mode Share Proj.'!E53</f>
        <v>12417714.285714285</v>
      </c>
      <c r="C24" s="322">
        <f>B24-('Population and Mode Share Proj.'!W53+'Population and Mode Share Proj.'!X53)</f>
        <v>12346649.09793986</v>
      </c>
      <c r="D24" s="322">
        <v>0</v>
      </c>
      <c r="E24" s="322">
        <v>0</v>
      </c>
      <c r="F24" s="322">
        <f>'Population and Mode Share Proj.'!I53+'Population and Mode Share Proj.'!J53</f>
        <v>389340.36721823108</v>
      </c>
      <c r="G24" s="322">
        <f>'Population and Mode Share Proj.'!Q53+'Population and Mode Share Proj.'!P53</f>
        <v>465487.132588682</v>
      </c>
      <c r="H24" s="322">
        <f>'Population and Mode Share Proj.'!L52+'Population and Mode Share Proj.'!M52</f>
        <v>0</v>
      </c>
      <c r="I24" s="322">
        <f>'Population and Mode Share Proj.'!T52+'Population and Mode Share Proj.'!U52</f>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c r="A25" s="1">
        <f>IF(A24&lt;'Project Information'!B$10,A24+1,"")</f>
        <v>2051</v>
      </c>
      <c r="B25" s="322">
        <f>'Population and Mode Share Proj.'!E54</f>
        <v>12418000</v>
      </c>
      <c r="C25" s="322">
        <f>B25-('Population and Mode Share Proj.'!W54+'Population and Mode Share Proj.'!X54)</f>
        <v>12276179.614371475</v>
      </c>
      <c r="D25" s="322">
        <v>0</v>
      </c>
      <c r="E25" s="322">
        <v>0</v>
      </c>
      <c r="F25" s="322">
        <f>'Population and Mode Share Proj.'!I54+'Population and Mode Share Proj.'!J54</f>
        <v>394401.79199206806</v>
      </c>
      <c r="G25" s="322">
        <f>'Population and Mode Share Proj.'!Q54+'Population and Mode Share Proj.'!P54</f>
        <v>546027.70102702291</v>
      </c>
      <c r="H25" s="322">
        <f>'Population and Mode Share Proj.'!L53+'Population and Mode Share Proj.'!M53</f>
        <v>0</v>
      </c>
      <c r="I25" s="322">
        <f>'Population and Mode Share Proj.'!T53+'Population and Mode Share Proj.'!U53</f>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c r="A26" s="1" t="str">
        <f>IF(A25&lt;'Project Information'!B$10,A25+1,"")</f>
        <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c r="A27" s="1" t="str">
        <f>IF(A26&lt;'Project Information'!B$10,A26+1,"")</f>
        <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c r="A28" s="1" t="str">
        <f>IF(A27&lt;'Project Information'!B$10,A27+1,"")</f>
        <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c r="A29" s="1" t="str">
        <f>IF(A28&lt;'Project Information'!B$10,A28+1,"")</f>
        <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c r="A30" s="1" t="str">
        <f>IF(A29&lt;'Project Information'!B$10,A29+1,"")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c r="A31" s="1" t="str">
        <f>IF(A30&lt;'Project Information'!B$10,A30+1,"")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c r="A32" s="1" t="str">
        <f>IF(A31&lt;'Project Information'!B$10,A31+1,"")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c r="A33" s="1" t="str">
        <f>IF(A32&lt;'Project Information'!B$10,A32+1,"")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c r="A34" s="1" t="str">
        <f>IF(A33&lt;'Project Information'!B$10,A33+1,"")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c r="A35" s="1" t="str">
        <f>IF(A34&lt;'Project Information'!B$10,A34+1,"")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s="5" customFormat="1">
      <c r="C36" s="395"/>
      <c r="O36" s="146"/>
      <c r="BJ36" s="147"/>
    </row>
    <row r="37" spans="1:62" s="5" customFormat="1">
      <c r="C37" s="395"/>
      <c r="O37" s="146"/>
      <c r="BJ37" s="147"/>
    </row>
    <row r="38" spans="1:62" s="5" customFormat="1">
      <c r="C38" s="395"/>
      <c r="O38" s="146"/>
      <c r="BJ38" s="147"/>
    </row>
    <row r="39" spans="1:62" s="5" customFormat="1">
      <c r="O39" s="146"/>
      <c r="BJ39" s="147"/>
    </row>
    <row r="40" spans="1:62" s="5" customFormat="1">
      <c r="O40" s="146"/>
      <c r="BJ40" s="147"/>
    </row>
    <row r="41" spans="1:62" s="5" customFormat="1">
      <c r="O41" s="146"/>
      <c r="BJ41" s="147"/>
    </row>
    <row r="42" spans="1:62" s="5" customFormat="1">
      <c r="O42" s="146"/>
      <c r="BJ42" s="147"/>
    </row>
    <row r="43" spans="1:62" s="5" customFormat="1">
      <c r="O43" s="146"/>
      <c r="BJ43" s="147"/>
    </row>
    <row r="44" spans="1:62" s="5" customFormat="1" ht="15.75" thickBot="1">
      <c r="O44" s="148"/>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50"/>
    </row>
    <row r="45" spans="1:62" s="5" customFormat="1"/>
    <row r="46" spans="1:62" s="5" customFormat="1"/>
    <row r="47" spans="1:62" s="5" customFormat="1"/>
    <row r="48" spans="1:62"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sheetData>
  <mergeCells count="6">
    <mergeCell ref="L4:M4"/>
    <mergeCell ref="B4:C4"/>
    <mergeCell ref="D4:E4"/>
    <mergeCell ref="F4:G4"/>
    <mergeCell ref="H4:I4"/>
    <mergeCell ref="J4:K4"/>
  </mergeCells>
  <conditionalFormatting sqref="B6:M35">
    <cfRule type="expression" dxfId="20" priority="1">
      <formula>$A6=""</formula>
    </cfRule>
  </conditionalFormatting>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7"/>
  <sheetViews>
    <sheetView zoomScale="115" zoomScaleNormal="115" workbookViewId="0">
      <selection activeCell="C10" sqref="C10"/>
    </sheetView>
  </sheetViews>
  <sheetFormatPr defaultColWidth="9.140625" defaultRowHeight="15"/>
  <cols>
    <col min="1" max="1" width="28.85546875" style="5" customWidth="1"/>
    <col min="2" max="2" width="39.5703125" style="5" bestFit="1" customWidth="1"/>
    <col min="3" max="3" width="30.140625" style="5" customWidth="1"/>
    <col min="4" max="16384" width="9.140625" style="5"/>
  </cols>
  <sheetData>
    <row r="1" spans="1:52" ht="20.25" thickBot="1">
      <c r="A1" s="96" t="s">
        <v>225</v>
      </c>
    </row>
    <row r="2" spans="1:52" ht="15.75" thickTop="1">
      <c r="A2" s="38" t="s">
        <v>20</v>
      </c>
    </row>
    <row r="3" spans="1:52">
      <c r="A3" s="328">
        <v>3.1E-2</v>
      </c>
      <c r="B3" s="5" t="s">
        <v>226</v>
      </c>
    </row>
    <row r="4" spans="1:52">
      <c r="A4" s="119">
        <v>0</v>
      </c>
      <c r="B4" s="5" t="s">
        <v>227</v>
      </c>
    </row>
    <row r="5" spans="1:52">
      <c r="A5" s="29" t="s">
        <v>20</v>
      </c>
    </row>
    <row r="6" spans="1:52" ht="15.75" thickBot="1">
      <c r="A6" s="97" t="s">
        <v>228</v>
      </c>
    </row>
    <row r="7" spans="1:52">
      <c r="A7" s="115" t="s">
        <v>222</v>
      </c>
      <c r="B7" s="113" t="s">
        <v>229</v>
      </c>
      <c r="C7" s="108" t="s">
        <v>230</v>
      </c>
      <c r="E7" s="10" t="s">
        <v>221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c r="A8" s="30">
        <f>'Project Information'!B6</f>
        <v>2030</v>
      </c>
      <c r="B8" s="22">
        <v>0</v>
      </c>
      <c r="C8" s="8">
        <f>B8/(1+$A$3)^(A8-Overview!$B$22)</f>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IF(A8&lt;$A$8+'Project Information'!$B$7-1,A8+1,"")</f>
        <v>2031</v>
      </c>
      <c r="B9" s="22">
        <v>7555000</v>
      </c>
      <c r="C9" s="8">
        <f>IFERROR(B9/(1+$A$3)^(A9-Overview!$B$22),0)</f>
        <v>5917866.2633993616</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t="str">
        <f>IF(A9&lt;$A$8+'Project Information'!$B$7-1,A9+1,"")</f>
        <v/>
      </c>
      <c r="B10" s="22">
        <v>0</v>
      </c>
      <c r="C10" s="8">
        <f>IFERROR(B10/(1+$A$3)^(A10-Overview!$B$22),0)</f>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t="str">
        <f>IF(A10&lt;$A$8+'Project Information'!$B$7-1,A10+1,"")</f>
        <v/>
      </c>
      <c r="B11" s="22">
        <v>0</v>
      </c>
      <c r="C11" s="8">
        <f>IFERROR(B11/(1+$A$3)^(A11-Overview!$B$22),0)</f>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t="str">
        <f>IF(A11&lt;$A$8+'Project Information'!$B$7-1,A11+1,"")</f>
        <v/>
      </c>
      <c r="B12" s="22">
        <v>0</v>
      </c>
      <c r="C12" s="8">
        <f>IFERROR(B12/(1+$A$3)^(A12-Overview!$B$22),0)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t="str">
        <f>IF(A12&lt;$A$8+'Project Information'!$B$7-1,A12+1,"")</f>
        <v/>
      </c>
      <c r="B13" s="22">
        <v>0</v>
      </c>
      <c r="C13" s="8">
        <f>IFERROR(B13/(1+$A$3)^(A13-Overview!$B$22),0)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t="str">
        <f>IF(A13&lt;$A$8+'Project Information'!$B$7-1,A13+1,"")</f>
        <v/>
      </c>
      <c r="B14" s="22">
        <v>0</v>
      </c>
      <c r="C14" s="8">
        <f>IFERROR(B14/(1+$A$3)^(A14-Overview!$B$22),0)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t="str">
        <f>IF(A14&lt;$A$8+'Project Information'!$B$7-1,A14+1,"")</f>
        <v/>
      </c>
      <c r="B15" s="22">
        <v>0</v>
      </c>
      <c r="C15" s="8">
        <f>IFERROR(B15/(1+$A$3)^(A15-Overview!$B$22),0)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t="str">
        <f>IF(A15&lt;$A$8+'Project Information'!$B$7-1,A15+1,"")</f>
        <v/>
      </c>
      <c r="B16" s="22">
        <v>0</v>
      </c>
      <c r="C16" s="8">
        <f>IFERROR(B16/(1+$A$3)^(A16-Overview!$B$22),0)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t="str">
        <f>IF(A16&lt;$A$8+'Project Information'!$B$7-1,A16+1,"")</f>
        <v/>
      </c>
      <c r="B17" s="22">
        <v>0</v>
      </c>
      <c r="C17" s="8">
        <f>IFERROR(B17/(1+$A$3)^(A17-Overview!$B$22),0)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t="str">
        <f>IF(A17&lt;$A$8+'Project Information'!$B$7-1,A17+1,"")</f>
        <v/>
      </c>
      <c r="B18" s="22">
        <v>0</v>
      </c>
      <c r="C18" s="8">
        <f>IFERROR(B18/(1+$A$3)^(A18-Overview!$B$22),0)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t="str">
        <f>IF(A18&lt;$A$8+'Project Information'!$B$7-1,A18+1,"")</f>
        <v/>
      </c>
      <c r="B19" s="22">
        <v>0</v>
      </c>
      <c r="C19" s="8">
        <f>IFERROR(B19/(1+$A$3)^(A19-Overview!$B$22),0)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t="str">
        <f>IF(A19&lt;$A$8+'Project Information'!$B$7-1,A19+1,"")</f>
        <v/>
      </c>
      <c r="B20" s="22">
        <v>0</v>
      </c>
      <c r="C20" s="8">
        <f>IFERROR(B20/(1+$A$3)^(A20-Overview!$B$22),0)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t="str">
        <f>IF(A20&lt;$A$8+'Project Information'!$B$7-1,A20+1,"")</f>
        <v/>
      </c>
      <c r="B21" s="22">
        <v>0</v>
      </c>
      <c r="C21" s="8">
        <f>IFERROR(B21/(1+$A$3)^(A21-Overview!$B$22),0)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t="str">
        <f>IF(A21&lt;$A$8+'Project Information'!$B$7-1,A21+1,"")</f>
        <v/>
      </c>
      <c r="B22" s="22">
        <v>0</v>
      </c>
      <c r="C22" s="8">
        <f>IFERROR(B22/(1+$A$3)^(A22-Overview!$B$22),0)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31"/>
      <c r="B23" s="32"/>
      <c r="C23" s="33"/>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B24" s="28"/>
      <c r="C24" s="29"/>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ht="15.75" thickBot="1">
      <c r="B47" s="28"/>
      <c r="C47" s="29"/>
      <c r="E47" s="15"/>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7"/>
    </row>
  </sheetData>
  <conditionalFormatting sqref="B8:B22">
    <cfRule type="expression" dxfId="19" priority="1">
      <formula>A8=""</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4"/>
  <sheetViews>
    <sheetView zoomScaleNormal="100" workbookViewId="0">
      <selection activeCell="C5" sqref="C5"/>
    </sheetView>
  </sheetViews>
  <sheetFormatPr defaultColWidth="9.140625" defaultRowHeight="15"/>
  <cols>
    <col min="1" max="1" width="28.5703125" style="5" customWidth="1"/>
    <col min="2" max="2" width="42" style="5" customWidth="1"/>
    <col min="3" max="3" width="37.85546875" style="5" customWidth="1"/>
    <col min="4" max="4" width="46.5703125" style="5" customWidth="1"/>
    <col min="5" max="7" width="9.140625" style="5"/>
    <col min="8" max="8" width="23" style="5" customWidth="1"/>
    <col min="9" max="10" width="9.140625" style="5"/>
    <col min="11" max="11" width="16" style="5" bestFit="1" customWidth="1"/>
    <col min="12" max="16384" width="9.140625" style="5"/>
  </cols>
  <sheetData>
    <row r="1" spans="1:54" ht="20.25" thickBot="1">
      <c r="A1" s="96" t="s">
        <v>231</v>
      </c>
    </row>
    <row r="2" spans="1:54" ht="15.75" thickTop="1">
      <c r="A2" s="5" t="s">
        <v>20</v>
      </c>
    </row>
    <row r="3" spans="1:54" ht="15.75" thickBot="1">
      <c r="A3" s="97" t="s">
        <v>233</v>
      </c>
    </row>
    <row r="4" spans="1:54">
      <c r="A4" s="107" t="s">
        <v>222</v>
      </c>
      <c r="B4" s="108" t="s">
        <v>234</v>
      </c>
      <c r="C4" s="108" t="s">
        <v>235</v>
      </c>
      <c r="D4" s="108" t="s">
        <v>236</v>
      </c>
      <c r="G4" s="10" t="s">
        <v>221</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2"/>
    </row>
    <row r="5" spans="1:54">
      <c r="A5" s="6">
        <f>'Project Information'!$B$8</f>
        <v>2032</v>
      </c>
      <c r="B5" s="22">
        <v>0</v>
      </c>
      <c r="C5" s="362">
        <f>(K$16+K$17+(6*K$18)+K$19)</f>
        <v>5820</v>
      </c>
      <c r="D5" s="26">
        <f>C5-B5</f>
        <v>5820</v>
      </c>
      <c r="G5" s="1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s="14"/>
    </row>
    <row r="6" spans="1:54">
      <c r="A6" s="1">
        <f>IF(A5&lt;'Project Information'!B$10,A5+1,"")</f>
        <v>2033</v>
      </c>
      <c r="B6" s="22">
        <v>0</v>
      </c>
      <c r="C6" s="362">
        <f t="shared" ref="C6:C24" si="0">(K$16+K$17+(6*K$18)+K$19)</f>
        <v>5820</v>
      </c>
      <c r="D6" s="8">
        <f t="shared" ref="D6:D34" si="1">C6-B6</f>
        <v>5820</v>
      </c>
      <c r="G6" s="13"/>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s="14"/>
    </row>
    <row r="7" spans="1:54">
      <c r="A7" s="1">
        <f>IF(A6&lt;'Project Information'!B$10,A6+1,"")</f>
        <v>2034</v>
      </c>
      <c r="B7" s="22">
        <v>0</v>
      </c>
      <c r="C7" s="362">
        <f t="shared" si="0"/>
        <v>5820</v>
      </c>
      <c r="D7" s="8">
        <f t="shared" si="1"/>
        <v>5820</v>
      </c>
      <c r="G7" s="13"/>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s="14"/>
    </row>
    <row r="8" spans="1:54">
      <c r="A8" s="1">
        <f>IF(A7&lt;'Project Information'!B$10,A7+1,"")</f>
        <v>2035</v>
      </c>
      <c r="B8" s="22">
        <v>0</v>
      </c>
      <c r="C8" s="362">
        <f t="shared" si="0"/>
        <v>5820</v>
      </c>
      <c r="D8" s="8">
        <f t="shared" si="1"/>
        <v>5820</v>
      </c>
      <c r="G8" s="13"/>
      <c r="H8" t="s">
        <v>804</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c r="A9" s="1">
        <f>IF(A8&lt;'Project Information'!B$10,A8+1,"")</f>
        <v>2036</v>
      </c>
      <c r="B9" s="22">
        <v>0</v>
      </c>
      <c r="C9" s="362">
        <f t="shared" si="0"/>
        <v>5820</v>
      </c>
      <c r="D9" s="8">
        <f t="shared" si="1"/>
        <v>5820</v>
      </c>
      <c r="G9" s="13"/>
      <c r="H9" t="s">
        <v>805</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c r="A10" s="1">
        <f>IF(A9&lt;'Project Information'!B$10,A9+1,"")</f>
        <v>2037</v>
      </c>
      <c r="B10" s="22">
        <v>0</v>
      </c>
      <c r="C10" s="362">
        <f t="shared" si="0"/>
        <v>5820</v>
      </c>
      <c r="D10" s="8">
        <f t="shared" si="1"/>
        <v>5820</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c r="A11" s="1">
        <f>IF(A10&lt;'Project Information'!B$10,A10+1,"")</f>
        <v>2038</v>
      </c>
      <c r="B11" s="22">
        <v>0</v>
      </c>
      <c r="C11" s="362">
        <f t="shared" si="0"/>
        <v>5820</v>
      </c>
      <c r="D11" s="8">
        <f t="shared" si="1"/>
        <v>5820</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c r="A12" s="1">
        <f>IF(A11&lt;'Project Information'!B$10,A11+1,"")</f>
        <v>2039</v>
      </c>
      <c r="B12" s="22">
        <v>0</v>
      </c>
      <c r="C12" s="362">
        <f t="shared" si="0"/>
        <v>5820</v>
      </c>
      <c r="D12" s="8">
        <f t="shared" si="1"/>
        <v>5820</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c r="A13" s="1">
        <f>IF(A12&lt;'Project Information'!B$10,A12+1,"")</f>
        <v>2040</v>
      </c>
      <c r="B13" s="22">
        <v>0</v>
      </c>
      <c r="C13" s="362">
        <f t="shared" si="0"/>
        <v>5820</v>
      </c>
      <c r="D13" s="8">
        <f t="shared" si="1"/>
        <v>5820</v>
      </c>
      <c r="G13" s="13"/>
      <c r="H13" t="s">
        <v>791</v>
      </c>
      <c r="I13" s="5" t="s">
        <v>792</v>
      </c>
      <c r="J13" s="5" t="s">
        <v>793</v>
      </c>
      <c r="K13" t="s">
        <v>794</v>
      </c>
      <c r="L13" t="s">
        <v>795</v>
      </c>
      <c r="M13" t="s">
        <v>796</v>
      </c>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c r="A14" s="1">
        <f>IF(A13&lt;'Project Information'!B$10,A13+1,"")</f>
        <v>2041</v>
      </c>
      <c r="B14" s="22">
        <v>0</v>
      </c>
      <c r="C14" s="362">
        <f t="shared" si="0"/>
        <v>5820</v>
      </c>
      <c r="D14" s="8">
        <f t="shared" si="1"/>
        <v>5820</v>
      </c>
      <c r="G14" s="13"/>
      <c r="H14"/>
      <c r="I14"/>
      <c r="J14"/>
      <c r="K14" s="360"/>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c r="A15" s="1">
        <f>IF(A14&lt;'Project Information'!B$10,A14+1,"")</f>
        <v>2042</v>
      </c>
      <c r="B15" s="22">
        <v>0</v>
      </c>
      <c r="C15" s="362">
        <f t="shared" si="0"/>
        <v>5820</v>
      </c>
      <c r="D15" s="8">
        <f t="shared" si="1"/>
        <v>5820</v>
      </c>
      <c r="G15" s="13"/>
      <c r="H15" t="s">
        <v>798</v>
      </c>
      <c r="I15" t="s">
        <v>797</v>
      </c>
      <c r="J15">
        <v>1</v>
      </c>
      <c r="K15" s="361">
        <v>15000</v>
      </c>
      <c r="L15">
        <v>20</v>
      </c>
      <c r="M15">
        <v>20</v>
      </c>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c r="A16" s="1">
        <f>IF(A15&lt;'Project Information'!B$10,A15+1,"")</f>
        <v>2043</v>
      </c>
      <c r="B16" s="22">
        <v>0</v>
      </c>
      <c r="C16" s="362">
        <f t="shared" si="0"/>
        <v>5820</v>
      </c>
      <c r="D16" s="8">
        <f t="shared" si="1"/>
        <v>5820</v>
      </c>
      <c r="G16" s="13"/>
      <c r="H16" t="s">
        <v>799</v>
      </c>
      <c r="I16" t="s">
        <v>797</v>
      </c>
      <c r="J16">
        <v>1</v>
      </c>
      <c r="K16" s="360">
        <v>2500</v>
      </c>
      <c r="L16">
        <v>1</v>
      </c>
      <c r="M16">
        <v>50</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c r="A17" s="1">
        <f>IF(A16&lt;'Project Information'!B$10,A16+1,"")</f>
        <v>2044</v>
      </c>
      <c r="B17" s="22">
        <v>0</v>
      </c>
      <c r="C17" s="362">
        <f t="shared" si="0"/>
        <v>5820</v>
      </c>
      <c r="D17" s="8">
        <f t="shared" si="1"/>
        <v>5820</v>
      </c>
      <c r="G17" s="13"/>
      <c r="H17" t="s">
        <v>800</v>
      </c>
      <c r="I17" t="s">
        <v>797</v>
      </c>
      <c r="J17">
        <v>2</v>
      </c>
      <c r="K17" s="360">
        <v>800</v>
      </c>
      <c r="L17">
        <v>1</v>
      </c>
      <c r="M17">
        <v>50</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c r="A18" s="1">
        <f>IF(A17&lt;'Project Information'!B$10,A17+1,"")</f>
        <v>2045</v>
      </c>
      <c r="B18" s="22">
        <v>0</v>
      </c>
      <c r="C18" s="362">
        <f t="shared" si="0"/>
        <v>5820</v>
      </c>
      <c r="D18" s="8">
        <f t="shared" si="1"/>
        <v>5820</v>
      </c>
      <c r="G18" s="13"/>
      <c r="H18" t="s">
        <v>801</v>
      </c>
      <c r="I18" t="s">
        <v>797</v>
      </c>
      <c r="J18">
        <v>6</v>
      </c>
      <c r="K18" s="360">
        <v>300</v>
      </c>
      <c r="L18">
        <v>1</v>
      </c>
      <c r="M18">
        <v>50</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c r="A19" s="1">
        <f>IF(A18&lt;'Project Information'!B$10,A18+1,"")</f>
        <v>2046</v>
      </c>
      <c r="B19" s="22">
        <v>0</v>
      </c>
      <c r="C19" s="362">
        <f t="shared" si="0"/>
        <v>5820</v>
      </c>
      <c r="D19" s="8">
        <f t="shared" si="1"/>
        <v>5820</v>
      </c>
      <c r="G19" s="13"/>
      <c r="H19" t="s">
        <v>802</v>
      </c>
      <c r="I19" t="s">
        <v>803</v>
      </c>
      <c r="J19">
        <v>1</v>
      </c>
      <c r="K19" s="360">
        <f>((400000/9000)*(2700)*0.3)/M19</f>
        <v>720</v>
      </c>
      <c r="L19">
        <v>1</v>
      </c>
      <c r="M19">
        <v>50</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c r="A20" s="1">
        <f>IF(A19&lt;'Project Information'!B$10,A19+1,"")</f>
        <v>2047</v>
      </c>
      <c r="B20" s="22">
        <v>0</v>
      </c>
      <c r="C20" s="362">
        <f t="shared" si="0"/>
        <v>5820</v>
      </c>
      <c r="D20" s="8">
        <f t="shared" si="1"/>
        <v>5820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c r="A21" s="1">
        <f>IF(A20&lt;'Project Information'!B$10,A20+1,"")</f>
        <v>2048</v>
      </c>
      <c r="B21" s="22">
        <v>0</v>
      </c>
      <c r="C21" s="362">
        <f t="shared" si="0"/>
        <v>5820</v>
      </c>
      <c r="D21" s="8">
        <f t="shared" si="1"/>
        <v>5820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c r="A22" s="1">
        <f>IF(A21&lt;'Project Information'!B$10,A21+1,"")</f>
        <v>2049</v>
      </c>
      <c r="B22" s="22">
        <v>0</v>
      </c>
      <c r="C22" s="362">
        <f t="shared" si="0"/>
        <v>5820</v>
      </c>
      <c r="D22" s="8">
        <f t="shared" si="1"/>
        <v>5820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c r="A23" s="1">
        <f>IF(A22&lt;'Project Information'!B$10,A22+1,"")</f>
        <v>2050</v>
      </c>
      <c r="B23" s="22">
        <v>0</v>
      </c>
      <c r="C23" s="362">
        <f t="shared" si="0"/>
        <v>5820</v>
      </c>
      <c r="D23" s="8">
        <f t="shared" si="1"/>
        <v>5820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c r="A24" s="1">
        <f>IF(A23&lt;'Project Information'!B$10,A23+1,"")</f>
        <v>2051</v>
      </c>
      <c r="B24" s="22">
        <v>0</v>
      </c>
      <c r="C24" s="362">
        <f t="shared" si="0"/>
        <v>5820</v>
      </c>
      <c r="D24" s="8">
        <f t="shared" si="1"/>
        <v>5820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c r="A25" s="1" t="str">
        <f>IF(A24&lt;'Project Information'!B$10,A24+1,"")</f>
        <v/>
      </c>
      <c r="B25" s="22">
        <v>0</v>
      </c>
      <c r="C25" s="22">
        <v>0</v>
      </c>
      <c r="D25" s="8">
        <f t="shared" si="1"/>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c r="A26" s="1" t="str">
        <f>IF(A25&lt;'Project Information'!B$10,A25+1,"")</f>
        <v/>
      </c>
      <c r="B26" s="22">
        <v>0</v>
      </c>
      <c r="C26" s="22">
        <v>0</v>
      </c>
      <c r="D26" s="8">
        <f t="shared" si="1"/>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t="str">
        <f>IF(A26&lt;'Project Information'!B$10,A26+1,"")</f>
        <v/>
      </c>
      <c r="B27" s="22">
        <v>0</v>
      </c>
      <c r="C27" s="22">
        <v>0</v>
      </c>
      <c r="D27" s="8">
        <f t="shared" si="1"/>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t="str">
        <f>IF(A27&lt;'Project Information'!B$10,A27+1,"")</f>
        <v/>
      </c>
      <c r="B28" s="22">
        <v>0</v>
      </c>
      <c r="C28" s="22">
        <v>0</v>
      </c>
      <c r="D28" s="8">
        <f t="shared" si="1"/>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t="str">
        <f>IF(A28&lt;'Project Information'!B$10,A28+1,"")</f>
        <v/>
      </c>
      <c r="B29" s="22">
        <v>0</v>
      </c>
      <c r="C29" s="22">
        <v>0</v>
      </c>
      <c r="D29" s="8">
        <f t="shared" si="1"/>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t="str">
        <f>IF(A29&lt;'Project Information'!B$10,A29+1,"")</f>
        <v/>
      </c>
      <c r="B30" s="22">
        <v>0</v>
      </c>
      <c r="C30" s="22">
        <v>0</v>
      </c>
      <c r="D30" s="8">
        <f t="shared" si="1"/>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c r="A31" s="1" t="str">
        <f>IF(A30&lt;'Project Information'!B$10,A30+1,"")</f>
        <v/>
      </c>
      <c r="B31" s="22">
        <v>0</v>
      </c>
      <c r="C31" s="22">
        <v>0</v>
      </c>
      <c r="D31" s="8">
        <f t="shared" si="1"/>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t="str">
        <f>IF(A31&lt;'Project Information'!B$10,A31+1,"")</f>
        <v/>
      </c>
      <c r="B32" s="22">
        <v>0</v>
      </c>
      <c r="C32" s="22">
        <v>0</v>
      </c>
      <c r="D32" s="8">
        <f t="shared" si="1"/>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t="str">
        <f>IF(A32&lt;'Project Information'!B$10,A32+1,"")</f>
        <v/>
      </c>
      <c r="B33" s="22">
        <v>0</v>
      </c>
      <c r="C33" s="22">
        <v>0</v>
      </c>
      <c r="D33" s="8">
        <f t="shared" si="1"/>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t="str">
        <f>IF(A33&lt;'Project Information'!B$10,A33+1,"")</f>
        <v/>
      </c>
      <c r="B34" s="22">
        <v>0</v>
      </c>
      <c r="C34" s="22">
        <v>0</v>
      </c>
      <c r="D34" s="8">
        <f t="shared" si="1"/>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31"/>
      <c r="B35" s="32"/>
      <c r="C35" s="32"/>
      <c r="D35" s="33"/>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B36" s="28"/>
      <c r="C36" s="28"/>
      <c r="D36" s="29"/>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B37" s="28"/>
      <c r="C37" s="28"/>
      <c r="D37" s="29"/>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B38" s="28"/>
      <c r="C38" s="28"/>
      <c r="D38" s="29"/>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ht="15.75" thickBot="1">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7"/>
    </row>
  </sheetData>
  <conditionalFormatting sqref="B5:B34">
    <cfRule type="expression" dxfId="18" priority="2">
      <formula>A5=""</formula>
    </cfRule>
  </conditionalFormatting>
  <conditionalFormatting sqref="C5:C34">
    <cfRule type="expression" dxfId="17" priority="1">
      <formula>A5=""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0"/>
  <sheetViews>
    <sheetView zoomScale="70" zoomScaleNormal="70" workbookViewId="0">
      <selection activeCell="B52" sqref="B52"/>
    </sheetView>
  </sheetViews>
  <sheetFormatPr defaultColWidth="9.140625" defaultRowHeight="15"/>
  <cols>
    <col min="1" max="1" width="38.42578125" style="5" customWidth="1"/>
    <col min="2" max="2" width="25.28515625" style="5" customWidth="1"/>
    <col min="3" max="3" width="32.5703125" style="5" customWidth="1"/>
    <col min="4" max="4" width="22.7109375" style="5" customWidth="1"/>
    <col min="5" max="6" width="9.140625" style="5"/>
    <col min="7" max="7" width="53.7109375" style="5" customWidth="1"/>
    <col min="8" max="8" width="21.85546875" style="5" customWidth="1"/>
    <col min="9" max="15" width="9.140625" style="5"/>
    <col min="16" max="16" width="21.85546875" style="5" customWidth="1"/>
    <col min="17" max="17" width="15.5703125" style="5" customWidth="1"/>
    <col min="18" max="18" width="24.5703125" style="5" customWidth="1"/>
    <col min="19" max="19" width="23.28515625" style="5" customWidth="1"/>
    <col min="20" max="27" width="9.140625" style="5"/>
    <col min="28" max="28" width="25.28515625" style="5" customWidth="1"/>
    <col min="29" max="29" width="12.7109375" style="5" customWidth="1"/>
    <col min="30" max="16384" width="9.140625" style="5"/>
  </cols>
  <sheetData>
    <row r="1" spans="1:2" ht="20.25" thickBot="1">
      <c r="A1" s="96" t="s">
        <v>237</v>
      </c>
    </row>
    <row r="2" spans="1:2" ht="15.75" thickTop="1">
      <c r="A2" s="38" t="s">
        <v>20</v>
      </c>
    </row>
    <row r="3" spans="1:2">
      <c r="A3" s="97" t="s">
        <v>239</v>
      </c>
    </row>
    <row r="4" spans="1:2">
      <c r="A4" s="116" t="s">
        <v>33</v>
      </c>
      <c r="B4" s="116" t="str">
        <f>'Parameter Values'!B6</f>
        <v>Monetized Value (2023 $)</v>
      </c>
    </row>
    <row r="5" spans="1:2">
      <c r="A5" s="35" t="s">
        <v>35</v>
      </c>
      <c r="B5" s="40">
        <f>'Parameter Values'!B7</f>
        <v>5300</v>
      </c>
    </row>
    <row r="6" spans="1:2">
      <c r="A6" s="35" t="s">
        <v>36</v>
      </c>
      <c r="B6" s="40">
        <f>'Parameter Values'!B8</f>
        <v>118000</v>
      </c>
    </row>
    <row r="7" spans="1:2">
      <c r="A7" s="35" t="s">
        <v>37</v>
      </c>
      <c r="B7" s="40">
        <f>'Parameter Values'!B9</f>
        <v>246900</v>
      </c>
    </row>
    <row r="8" spans="1:2">
      <c r="A8" s="35" t="s">
        <v>38</v>
      </c>
      <c r="B8" s="40">
        <f>'Parameter Values'!B10</f>
        <v>1254700</v>
      </c>
    </row>
    <row r="9" spans="1:2">
      <c r="A9" s="35" t="s">
        <v>39</v>
      </c>
      <c r="B9" s="40">
        <f>'Parameter Values'!B11</f>
        <v>13200000</v>
      </c>
    </row>
    <row r="10" spans="1:2">
      <c r="A10" s="35" t="s">
        <v>40</v>
      </c>
      <c r="B10" s="40">
        <f>'Parameter Values'!B12</f>
        <v>229800</v>
      </c>
    </row>
    <row r="11" spans="1:2">
      <c r="A11" s="128" t="s">
        <v>20</v>
      </c>
      <c r="B11" s="129"/>
    </row>
    <row r="12" spans="1:2">
      <c r="A12" s="35" t="s">
        <v>42</v>
      </c>
    </row>
    <row r="13" spans="1:2">
      <c r="A13" s="35" t="s">
        <v>43</v>
      </c>
      <c r="B13" s="40">
        <f>'Parameter Values'!B15</f>
        <v>9500</v>
      </c>
    </row>
    <row r="14" spans="1:2">
      <c r="A14" s="35" t="s">
        <v>44</v>
      </c>
      <c r="B14" s="40">
        <f>'Parameter Values'!B16</f>
        <v>329500</v>
      </c>
    </row>
    <row r="15" spans="1:2">
      <c r="A15" s="35" t="s">
        <v>45</v>
      </c>
      <c r="B15" s="40">
        <f>'Parameter Values'!B17</f>
        <v>14806000</v>
      </c>
    </row>
    <row r="16" spans="1:2">
      <c r="A16" s="5" t="s">
        <v>20</v>
      </c>
    </row>
    <row r="17" spans="1:54" ht="15.75" thickBot="1">
      <c r="A17" s="97" t="s">
        <v>240</v>
      </c>
    </row>
    <row r="18" spans="1:54">
      <c r="A18" s="107" t="s">
        <v>222</v>
      </c>
      <c r="B18" s="108" t="s">
        <v>241</v>
      </c>
      <c r="C18" s="108" t="s">
        <v>242</v>
      </c>
      <c r="D18" s="114" t="s">
        <v>243</v>
      </c>
      <c r="G18"/>
      <c r="H18"/>
      <c r="I18"/>
      <c r="J18"/>
      <c r="K18"/>
      <c r="L18"/>
      <c r="M18"/>
      <c r="N18"/>
      <c r="O18"/>
      <c r="P18"/>
      <c r="Q18"/>
      <c r="R18"/>
      <c r="S18"/>
      <c r="T18"/>
      <c r="U18"/>
      <c r="V18"/>
      <c r="W18"/>
      <c r="X18"/>
      <c r="Y18"/>
      <c r="Z18"/>
      <c r="AA18"/>
      <c r="AB18"/>
      <c r="AC18"/>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2"/>
    </row>
    <row r="19" spans="1:54">
      <c r="A19" s="6">
        <f>'Project Information'!$B$8</f>
        <v>2032</v>
      </c>
      <c r="B19" s="22">
        <f>Q33+Q36</f>
        <v>7223150</v>
      </c>
      <c r="C19" s="22">
        <f>SUM(AB$21:AB$29)+SUM(AB$32:AB$40)</f>
        <v>3291943</v>
      </c>
      <c r="D19" s="26">
        <f>B19-C19</f>
        <v>3931207</v>
      </c>
      <c r="G19" s="174"/>
      <c r="H19" s="174"/>
      <c r="I19"/>
      <c r="J19"/>
      <c r="K19"/>
      <c r="L19"/>
      <c r="M19"/>
      <c r="N19"/>
      <c r="O19"/>
      <c r="P19"/>
      <c r="Q19"/>
      <c r="R19" s="174"/>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c r="A20" s="1">
        <f>IF(A19&lt;'Project Information'!B$10,A19+1,"")</f>
        <v>2033</v>
      </c>
      <c r="B20" s="22">
        <f t="shared" ref="B20:B38" si="0">SUM(Q$21:Q$29)+SUM(Q$32:Q$40)</f>
        <v>7223150</v>
      </c>
      <c r="C20" s="22">
        <f t="shared" ref="C20:C38" si="1">SUM(AB$21:AB$29)+SUM(AB$32:AB$40)</f>
        <v>3291943</v>
      </c>
      <c r="D20" s="8">
        <f t="shared" ref="D20:D48" si="2">B20-C20</f>
        <v>3931207</v>
      </c>
      <c r="G20" s="174"/>
      <c r="H20"/>
      <c r="I20" s="384"/>
      <c r="J20" s="384"/>
      <c r="K20" s="384"/>
      <c r="L20" s="384"/>
      <c r="M20" s="384"/>
      <c r="N20" s="384"/>
      <c r="O20" s="384"/>
      <c r="P20" s="174"/>
      <c r="Q20" s="174"/>
      <c r="R20" s="174"/>
      <c r="S20" s="174"/>
      <c r="T20" s="174"/>
      <c r="U20" s="384"/>
      <c r="V20" s="384"/>
      <c r="W20" s="384"/>
      <c r="X20" s="384"/>
      <c r="Y20" s="384"/>
      <c r="Z20" s="384"/>
      <c r="AA20" s="384"/>
      <c r="AB20" s="174"/>
      <c r="AC20" s="174"/>
      <c r="AD20"/>
      <c r="AE20"/>
      <c r="AF20"/>
      <c r="AG20"/>
      <c r="AH20"/>
      <c r="AI20"/>
      <c r="AJ20"/>
      <c r="AK20"/>
      <c r="AL20"/>
      <c r="AM20"/>
      <c r="AN20"/>
      <c r="AO20"/>
      <c r="AP20"/>
      <c r="AQ20"/>
      <c r="AR20"/>
      <c r="AS20"/>
      <c r="AT20"/>
      <c r="AU20"/>
      <c r="AV20"/>
      <c r="AW20"/>
      <c r="AX20"/>
      <c r="AY20"/>
      <c r="AZ20"/>
      <c r="BA20"/>
      <c r="BB20" s="14"/>
    </row>
    <row r="21" spans="1:54">
      <c r="A21" s="1">
        <f>IF(A20&lt;'Project Information'!B$10,A20+1,"")</f>
        <v>2034</v>
      </c>
      <c r="B21" s="22">
        <f t="shared" si="0"/>
        <v>7223150</v>
      </c>
      <c r="C21" s="22">
        <f t="shared" si="1"/>
        <v>3291943</v>
      </c>
      <c r="D21" s="8">
        <f t="shared" si="2"/>
        <v>3931207</v>
      </c>
      <c r="G21"/>
      <c r="H21"/>
      <c r="I21"/>
      <c r="J21"/>
      <c r="K21"/>
      <c r="L21"/>
      <c r="M21"/>
      <c r="N21"/>
      <c r="O21"/>
      <c r="P21"/>
      <c r="Q21" s="375"/>
      <c r="R21"/>
      <c r="S21"/>
      <c r="T21"/>
      <c r="U21"/>
      <c r="V21"/>
      <c r="W21"/>
      <c r="X21"/>
      <c r="Y21"/>
      <c r="Z21"/>
      <c r="AA21"/>
      <c r="AB21" s="375"/>
      <c r="AC21" s="375"/>
      <c r="AD21"/>
      <c r="AE21"/>
      <c r="AF21"/>
      <c r="AG21"/>
      <c r="AH21"/>
      <c r="AI21"/>
      <c r="AJ21"/>
      <c r="AK21"/>
      <c r="AL21"/>
      <c r="AM21"/>
      <c r="AN21"/>
      <c r="AO21"/>
      <c r="AP21"/>
      <c r="AQ21"/>
      <c r="AR21"/>
      <c r="AS21"/>
      <c r="AT21"/>
      <c r="AU21"/>
      <c r="AV21"/>
      <c r="AW21"/>
      <c r="AX21"/>
      <c r="AY21"/>
      <c r="AZ21"/>
      <c r="BA21"/>
      <c r="BB21" s="14"/>
    </row>
    <row r="22" spans="1:54">
      <c r="A22" s="1">
        <f>IF(A21&lt;'Project Information'!B$10,A21+1,"")</f>
        <v>2035</v>
      </c>
      <c r="B22" s="22">
        <f t="shared" si="0"/>
        <v>7223150</v>
      </c>
      <c r="C22" s="22">
        <f t="shared" si="1"/>
        <v>3291943</v>
      </c>
      <c r="D22" s="8">
        <f t="shared" si="2"/>
        <v>3931207</v>
      </c>
      <c r="G22"/>
      <c r="H22"/>
      <c r="Q22" s="375"/>
      <c r="R22"/>
      <c r="S22"/>
      <c r="T22"/>
      <c r="U22"/>
      <c r="V22"/>
      <c r="W22"/>
      <c r="X22"/>
      <c r="Y22"/>
      <c r="Z22"/>
      <c r="AA22"/>
      <c r="AB22" s="375"/>
      <c r="AC22" s="375"/>
      <c r="AD22"/>
      <c r="AE22"/>
      <c r="AF22"/>
      <c r="AG22"/>
      <c r="AH22"/>
      <c r="AI22"/>
      <c r="AJ22"/>
      <c r="AK22"/>
      <c r="AL22"/>
      <c r="AM22"/>
      <c r="AN22"/>
      <c r="AO22"/>
      <c r="AP22"/>
      <c r="AQ22"/>
      <c r="AR22"/>
      <c r="AS22"/>
      <c r="AT22"/>
      <c r="AU22"/>
      <c r="AV22"/>
      <c r="AW22"/>
      <c r="AX22"/>
      <c r="AY22"/>
      <c r="AZ22"/>
      <c r="BA22"/>
      <c r="BB22" s="14"/>
    </row>
    <row r="23" spans="1:54">
      <c r="A23" s="1">
        <f>IF(A22&lt;'Project Information'!B$10,A22+1,"")</f>
        <v>2036</v>
      </c>
      <c r="B23" s="22">
        <f t="shared" si="0"/>
        <v>7223150</v>
      </c>
      <c r="C23" s="22">
        <f t="shared" si="1"/>
        <v>3291943</v>
      </c>
      <c r="D23" s="8">
        <f t="shared" si="2"/>
        <v>3931207</v>
      </c>
      <c r="G23"/>
      <c r="H23"/>
      <c r="I23"/>
      <c r="J23"/>
      <c r="K23"/>
      <c r="L23"/>
      <c r="M23"/>
      <c r="N23"/>
      <c r="O23"/>
      <c r="P23"/>
      <c r="Q23" s="375"/>
      <c r="R23"/>
      <c r="S23"/>
      <c r="T23"/>
      <c r="U23"/>
      <c r="V23"/>
      <c r="W23"/>
      <c r="X23"/>
      <c r="Y23"/>
      <c r="Z23"/>
      <c r="AA23"/>
      <c r="AB23" s="375"/>
      <c r="AC23" s="375"/>
      <c r="AD23"/>
      <c r="AE23"/>
      <c r="AF23"/>
      <c r="AG23"/>
      <c r="AH23"/>
      <c r="AI23"/>
      <c r="AJ23"/>
      <c r="AK23"/>
      <c r="AL23"/>
      <c r="AM23"/>
      <c r="AN23"/>
      <c r="AO23"/>
      <c r="AP23"/>
      <c r="AQ23"/>
      <c r="AR23"/>
      <c r="AS23"/>
      <c r="AT23"/>
      <c r="AU23"/>
      <c r="AV23"/>
      <c r="AW23"/>
      <c r="AX23"/>
      <c r="AY23"/>
      <c r="AZ23"/>
      <c r="BA23"/>
      <c r="BB23" s="14"/>
    </row>
    <row r="24" spans="1:54">
      <c r="A24" s="1">
        <f>IF(A23&lt;'Project Information'!B$10,A23+1,"")</f>
        <v>2037</v>
      </c>
      <c r="B24" s="22">
        <f t="shared" si="0"/>
        <v>7223150</v>
      </c>
      <c r="C24" s="22">
        <f t="shared" si="1"/>
        <v>3291943</v>
      </c>
      <c r="D24" s="8">
        <f t="shared" si="2"/>
        <v>3931207</v>
      </c>
      <c r="G24"/>
      <c r="H24"/>
      <c r="I24"/>
      <c r="J24"/>
      <c r="K24"/>
      <c r="L24"/>
      <c r="M24"/>
      <c r="N24"/>
      <c r="O24"/>
      <c r="P24"/>
      <c r="Q24" s="375"/>
      <c r="R24"/>
      <c r="S24"/>
      <c r="T24"/>
      <c r="U24"/>
      <c r="V24"/>
      <c r="W24"/>
      <c r="X24"/>
      <c r="Y24"/>
      <c r="Z24"/>
      <c r="AA24"/>
      <c r="AB24" s="375"/>
      <c r="AC24" s="375"/>
      <c r="AD24"/>
      <c r="AE24"/>
      <c r="AF24"/>
      <c r="AG24"/>
      <c r="AH24"/>
      <c r="AI24"/>
      <c r="AJ24"/>
      <c r="AK24"/>
      <c r="AL24"/>
      <c r="AM24"/>
      <c r="AN24"/>
      <c r="AO24"/>
      <c r="AP24"/>
      <c r="AQ24"/>
      <c r="AR24"/>
      <c r="AS24"/>
      <c r="AT24"/>
      <c r="AU24"/>
      <c r="AV24"/>
      <c r="AW24"/>
      <c r="AX24"/>
      <c r="AY24"/>
      <c r="AZ24"/>
      <c r="BA24"/>
      <c r="BB24" s="14"/>
    </row>
    <row r="25" spans="1:54">
      <c r="A25" s="1">
        <f>IF(A24&lt;'Project Information'!B$10,A24+1,"")</f>
        <v>2038</v>
      </c>
      <c r="B25" s="22">
        <f t="shared" si="0"/>
        <v>7223150</v>
      </c>
      <c r="C25" s="22">
        <f t="shared" si="1"/>
        <v>3291943</v>
      </c>
      <c r="D25" s="8">
        <f t="shared" si="2"/>
        <v>3931207</v>
      </c>
      <c r="G25"/>
      <c r="H25"/>
      <c r="I25"/>
      <c r="J25"/>
      <c r="K25"/>
      <c r="L25"/>
      <c r="M25"/>
      <c r="N25"/>
      <c r="O25"/>
      <c r="P25"/>
      <c r="Q25" s="375"/>
      <c r="R25"/>
      <c r="S25"/>
      <c r="T25"/>
      <c r="U25"/>
      <c r="V25"/>
      <c r="W25"/>
      <c r="X25"/>
      <c r="Y25"/>
      <c r="Z25"/>
      <c r="AA25"/>
      <c r="AB25" s="375"/>
      <c r="AC25" s="375"/>
      <c r="AD25"/>
      <c r="AE25"/>
      <c r="AF25"/>
      <c r="AG25"/>
      <c r="AH25"/>
      <c r="AI25"/>
      <c r="AJ25"/>
      <c r="AK25"/>
      <c r="AL25"/>
      <c r="AM25"/>
      <c r="AN25"/>
      <c r="AO25"/>
      <c r="AP25"/>
      <c r="AQ25"/>
      <c r="AR25"/>
      <c r="AS25"/>
      <c r="AT25"/>
      <c r="AU25"/>
      <c r="AV25"/>
      <c r="AW25"/>
      <c r="AX25"/>
      <c r="AY25"/>
      <c r="AZ25"/>
      <c r="BA25"/>
      <c r="BB25" s="14"/>
    </row>
    <row r="26" spans="1:54">
      <c r="A26" s="1">
        <f>IF(A25&lt;'Project Information'!B$10,A25+1,"")</f>
        <v>2039</v>
      </c>
      <c r="B26" s="22">
        <f t="shared" si="0"/>
        <v>7223150</v>
      </c>
      <c r="C26" s="22">
        <f t="shared" si="1"/>
        <v>3291943</v>
      </c>
      <c r="D26" s="8">
        <f t="shared" si="2"/>
        <v>3931207</v>
      </c>
      <c r="G26"/>
      <c r="H26"/>
      <c r="I26"/>
      <c r="J26"/>
      <c r="K26"/>
      <c r="L26"/>
      <c r="M26"/>
      <c r="N26"/>
      <c r="O26"/>
      <c r="P26"/>
      <c r="Q26" s="375"/>
      <c r="R26"/>
      <c r="S26"/>
      <c r="T26"/>
      <c r="U26"/>
      <c r="V26"/>
      <c r="W26"/>
      <c r="X26"/>
      <c r="Y26"/>
      <c r="Z26"/>
      <c r="AA26"/>
      <c r="AB26" s="375"/>
      <c r="AC26" s="375"/>
      <c r="AD26"/>
      <c r="AE26"/>
      <c r="AF26"/>
      <c r="AG26"/>
      <c r="AH26"/>
      <c r="AI26"/>
      <c r="AJ26"/>
      <c r="AK26"/>
      <c r="AL26"/>
      <c r="AM26"/>
      <c r="AN26"/>
      <c r="AO26"/>
      <c r="AP26"/>
      <c r="AQ26"/>
      <c r="AR26"/>
      <c r="AS26"/>
      <c r="AT26"/>
      <c r="AU26"/>
      <c r="AV26"/>
      <c r="AW26"/>
      <c r="AX26"/>
      <c r="AY26"/>
      <c r="AZ26"/>
      <c r="BA26"/>
      <c r="BB26" s="14"/>
    </row>
    <row r="27" spans="1:54">
      <c r="A27" s="1">
        <f>IF(A26&lt;'Project Information'!B$10,A26+1,"")</f>
        <v>2040</v>
      </c>
      <c r="B27" s="22">
        <f t="shared" si="0"/>
        <v>7223150</v>
      </c>
      <c r="C27" s="22">
        <f t="shared" si="1"/>
        <v>3291943</v>
      </c>
      <c r="D27" s="8">
        <f t="shared" si="2"/>
        <v>3931207</v>
      </c>
      <c r="G27"/>
      <c r="H27"/>
      <c r="I27"/>
      <c r="J27"/>
      <c r="K27"/>
      <c r="L27"/>
      <c r="M27"/>
      <c r="N27"/>
      <c r="O27"/>
      <c r="P27"/>
      <c r="Q27" s="375"/>
      <c r="R27"/>
      <c r="S27"/>
      <c r="T27"/>
      <c r="U27"/>
      <c r="V27"/>
      <c r="W27"/>
      <c r="X27"/>
      <c r="Y27"/>
      <c r="Z27"/>
      <c r="AA27"/>
      <c r="AB27" s="375"/>
      <c r="AC27" s="375"/>
      <c r="AD27"/>
      <c r="AE27"/>
      <c r="AF27"/>
      <c r="AG27"/>
      <c r="AH27"/>
      <c r="AI27"/>
      <c r="AJ27"/>
      <c r="AK27"/>
      <c r="AL27"/>
      <c r="AM27"/>
      <c r="AN27"/>
      <c r="AO27"/>
      <c r="AP27"/>
      <c r="AQ27"/>
      <c r="AR27"/>
      <c r="AS27"/>
      <c r="AT27"/>
      <c r="AU27"/>
      <c r="AV27"/>
      <c r="AW27"/>
      <c r="AX27"/>
      <c r="AY27"/>
      <c r="AZ27"/>
      <c r="BA27"/>
      <c r="BB27" s="14"/>
    </row>
    <row r="28" spans="1:54">
      <c r="A28" s="1">
        <f>IF(A27&lt;'Project Information'!B$10,A27+1,"")</f>
        <v>2041</v>
      </c>
      <c r="B28" s="22">
        <f t="shared" si="0"/>
        <v>7223150</v>
      </c>
      <c r="C28" s="22">
        <f t="shared" si="1"/>
        <v>3291943</v>
      </c>
      <c r="D28" s="8">
        <f t="shared" si="2"/>
        <v>3931207</v>
      </c>
      <c r="G28"/>
      <c r="H28"/>
      <c r="I28"/>
      <c r="J28"/>
      <c r="K28"/>
      <c r="L28"/>
      <c r="M28"/>
      <c r="N28"/>
      <c r="O28"/>
      <c r="P28"/>
      <c r="Q28" s="375"/>
      <c r="R28"/>
      <c r="S28"/>
      <c r="T28"/>
      <c r="U28"/>
      <c r="V28"/>
      <c r="W28"/>
      <c r="X28"/>
      <c r="Y28"/>
      <c r="Z28"/>
      <c r="AA28"/>
      <c r="AB28" s="375"/>
      <c r="AC28" s="375"/>
      <c r="AD28"/>
      <c r="AE28"/>
      <c r="AF28"/>
      <c r="AG28"/>
      <c r="AH28"/>
      <c r="AI28"/>
      <c r="AJ28"/>
      <c r="AK28"/>
      <c r="AL28"/>
      <c r="AM28"/>
      <c r="AN28"/>
      <c r="AO28"/>
      <c r="AP28"/>
      <c r="AQ28"/>
      <c r="AR28"/>
      <c r="AS28"/>
      <c r="AT28"/>
      <c r="AU28"/>
      <c r="AV28"/>
      <c r="AW28"/>
      <c r="AX28"/>
      <c r="AY28"/>
      <c r="AZ28"/>
      <c r="BA28"/>
      <c r="BB28" s="14"/>
    </row>
    <row r="29" spans="1:54">
      <c r="A29" s="1">
        <f>IF(A28&lt;'Project Information'!B$10,A28+1,"")</f>
        <v>2042</v>
      </c>
      <c r="B29" s="22">
        <f t="shared" si="0"/>
        <v>7223150</v>
      </c>
      <c r="C29" s="22">
        <f t="shared" si="1"/>
        <v>3291943</v>
      </c>
      <c r="D29" s="8">
        <f t="shared" si="2"/>
        <v>3931207</v>
      </c>
      <c r="G29"/>
      <c r="H29"/>
      <c r="I29"/>
      <c r="J29"/>
      <c r="K29"/>
      <c r="L29"/>
      <c r="M29"/>
      <c r="N29"/>
      <c r="O29"/>
      <c r="P29"/>
      <c r="Q29" s="375"/>
      <c r="R29"/>
      <c r="S29"/>
      <c r="T29"/>
      <c r="U29"/>
      <c r="V29"/>
      <c r="W29"/>
      <c r="X29"/>
      <c r="Y29"/>
      <c r="Z29"/>
      <c r="AA29"/>
      <c r="AB29" s="375"/>
      <c r="AC29" s="375"/>
      <c r="AD29"/>
      <c r="AE29"/>
      <c r="AF29"/>
      <c r="AG29"/>
      <c r="AH29"/>
      <c r="AI29"/>
      <c r="AJ29"/>
      <c r="AK29"/>
      <c r="AL29"/>
      <c r="AM29"/>
      <c r="AN29"/>
      <c r="AO29"/>
      <c r="AP29"/>
      <c r="AQ29"/>
      <c r="AR29"/>
      <c r="AS29"/>
      <c r="AT29"/>
      <c r="AU29"/>
      <c r="AV29"/>
      <c r="AW29"/>
      <c r="AX29"/>
      <c r="AY29"/>
      <c r="AZ29"/>
      <c r="BA29"/>
      <c r="BB29" s="14"/>
    </row>
    <row r="30" spans="1:54">
      <c r="A30" s="1">
        <f>IF(A29&lt;'Project Information'!B$10,A29+1,"")</f>
        <v>2043</v>
      </c>
      <c r="B30" s="22">
        <f t="shared" si="0"/>
        <v>7223150</v>
      </c>
      <c r="C30" s="22">
        <f t="shared" si="1"/>
        <v>3291943</v>
      </c>
      <c r="D30" s="8">
        <f t="shared" si="2"/>
        <v>3931207</v>
      </c>
      <c r="G30"/>
      <c r="H30"/>
      <c r="I30"/>
      <c r="J30"/>
      <c r="K30"/>
      <c r="L30"/>
      <c r="M30"/>
      <c r="N30"/>
      <c r="O30"/>
      <c r="P30"/>
      <c r="Q30" s="375"/>
      <c r="R30"/>
      <c r="S30"/>
      <c r="T30"/>
      <c r="U30"/>
      <c r="V30"/>
      <c r="W30"/>
      <c r="X30"/>
      <c r="Y30"/>
      <c r="Z30"/>
      <c r="AA30"/>
      <c r="AB30" s="375"/>
      <c r="AC30" s="375"/>
      <c r="AD30"/>
      <c r="AE30"/>
      <c r="AF30"/>
      <c r="AG30"/>
      <c r="AH30"/>
      <c r="AI30"/>
      <c r="AJ30"/>
      <c r="AK30"/>
      <c r="AL30"/>
      <c r="AM30"/>
      <c r="AN30"/>
      <c r="AO30"/>
      <c r="AP30"/>
      <c r="AQ30"/>
      <c r="AR30"/>
      <c r="AS30"/>
      <c r="AT30"/>
      <c r="AU30"/>
      <c r="AV30"/>
      <c r="AW30"/>
      <c r="AX30"/>
      <c r="AY30"/>
      <c r="AZ30"/>
      <c r="BA30"/>
      <c r="BB30" s="14"/>
    </row>
    <row r="31" spans="1:54">
      <c r="A31" s="1">
        <f>IF(A30&lt;'Project Information'!B$10,A30+1,"")</f>
        <v>2044</v>
      </c>
      <c r="B31" s="22">
        <f t="shared" si="0"/>
        <v>7223150</v>
      </c>
      <c r="C31" s="22">
        <f t="shared" si="1"/>
        <v>3291943</v>
      </c>
      <c r="D31" s="8">
        <f t="shared" si="2"/>
        <v>3931207</v>
      </c>
      <c r="G31" s="385" t="s">
        <v>339</v>
      </c>
      <c r="H31" s="386" t="s">
        <v>823</v>
      </c>
      <c r="I31" s="43"/>
      <c r="J31" s="43"/>
      <c r="K31" s="43"/>
      <c r="L31" s="43"/>
      <c r="M31" s="43"/>
      <c r="N31" s="43"/>
      <c r="O31" s="43"/>
      <c r="P31" s="43"/>
      <c r="Q31" s="398" t="s">
        <v>825</v>
      </c>
      <c r="R31" s="386"/>
      <c r="S31" s="386"/>
      <c r="T31" s="386"/>
      <c r="U31" s="386"/>
      <c r="V31" s="386"/>
      <c r="W31" s="386"/>
      <c r="X31" s="386"/>
      <c r="Y31" s="386"/>
      <c r="Z31" s="386"/>
      <c r="AA31" s="386"/>
      <c r="AB31" s="398" t="s">
        <v>825</v>
      </c>
      <c r="AC31" s="398" t="s">
        <v>826</v>
      </c>
      <c r="AD31"/>
      <c r="AE31"/>
      <c r="AF31"/>
      <c r="AG31"/>
      <c r="AH31"/>
      <c r="AI31"/>
      <c r="AJ31"/>
      <c r="AK31"/>
      <c r="AL31"/>
      <c r="AM31"/>
      <c r="AN31"/>
      <c r="AO31"/>
      <c r="AP31"/>
      <c r="AQ31"/>
      <c r="AR31"/>
      <c r="AS31"/>
      <c r="AT31"/>
      <c r="AU31"/>
      <c r="AV31"/>
      <c r="AW31"/>
      <c r="AX31"/>
      <c r="AY31"/>
      <c r="AZ31"/>
      <c r="BA31"/>
      <c r="BB31" s="14"/>
    </row>
    <row r="32" spans="1:54">
      <c r="A32" s="1">
        <f>IF(A31&lt;'Project Information'!B$10,A31+1,"")</f>
        <v>2045</v>
      </c>
      <c r="B32" s="22">
        <f t="shared" si="0"/>
        <v>7223150</v>
      </c>
      <c r="C32" s="22">
        <f t="shared" si="1"/>
        <v>3291943</v>
      </c>
      <c r="D32" s="8">
        <f t="shared" si="2"/>
        <v>3931207</v>
      </c>
      <c r="G32" s="386"/>
      <c r="H32" s="386">
        <f>SUM(I32:O32)</f>
        <v>0</v>
      </c>
      <c r="I32" s="43"/>
      <c r="J32" s="43"/>
      <c r="K32" s="43"/>
      <c r="L32" s="43"/>
      <c r="M32" s="43"/>
      <c r="N32" s="43"/>
      <c r="O32" s="43"/>
      <c r="P32" s="43"/>
      <c r="Q32" s="387"/>
      <c r="R32" s="386"/>
      <c r="S32" s="386"/>
      <c r="T32" s="386"/>
      <c r="U32" s="386"/>
      <c r="V32" s="386"/>
      <c r="W32" s="386"/>
      <c r="X32" s="386"/>
      <c r="Y32" s="386"/>
      <c r="Z32" s="386"/>
      <c r="AA32" s="386"/>
      <c r="AB32" s="387"/>
      <c r="AC32" s="387"/>
      <c r="AD32"/>
      <c r="AE32"/>
      <c r="AF32"/>
      <c r="AG32"/>
      <c r="AH32"/>
      <c r="AI32"/>
      <c r="AJ32"/>
      <c r="AK32"/>
      <c r="AL32"/>
      <c r="AM32"/>
      <c r="AN32"/>
      <c r="AO32"/>
      <c r="AP32"/>
      <c r="AQ32"/>
      <c r="AR32"/>
      <c r="AS32"/>
      <c r="AT32"/>
      <c r="AU32"/>
      <c r="AV32"/>
      <c r="AW32"/>
      <c r="AX32"/>
      <c r="AY32"/>
      <c r="AZ32"/>
      <c r="BA32"/>
      <c r="BB32" s="14"/>
    </row>
    <row r="33" spans="1:54" ht="15.75">
      <c r="A33" s="1">
        <f>IF(A32&lt;'Project Information'!B$10,A32+1,"")</f>
        <v>2046</v>
      </c>
      <c r="B33" s="22">
        <f t="shared" si="0"/>
        <v>7223150</v>
      </c>
      <c r="C33" s="22">
        <f t="shared" si="1"/>
        <v>3291943</v>
      </c>
      <c r="D33" s="8">
        <f t="shared" si="2"/>
        <v>3931207</v>
      </c>
      <c r="G33" s="388" t="s">
        <v>782</v>
      </c>
      <c r="H33" s="386">
        <f t="shared" ref="H33:H40" si="3">SUM(I33:O33)</f>
        <v>2</v>
      </c>
      <c r="I33" s="43">
        <v>1</v>
      </c>
      <c r="J33" s="43"/>
      <c r="K33" s="43"/>
      <c r="L33" s="43">
        <v>1</v>
      </c>
      <c r="M33" s="43"/>
      <c r="N33" s="43"/>
      <c r="O33" s="43"/>
      <c r="P33" s="43" t="s">
        <v>817</v>
      </c>
      <c r="Q33" s="387">
        <f>(B$5*M33+B$6*L33+B$7*K33+B$8*J33+B$9*I33+B$10*N33+B$13*O33)/10</f>
        <v>1331800</v>
      </c>
      <c r="R33" s="386" t="s">
        <v>552</v>
      </c>
      <c r="S33" s="386" t="s">
        <v>553</v>
      </c>
      <c r="T33" s="386">
        <f>L49</f>
        <v>0.26</v>
      </c>
      <c r="U33" s="386">
        <f>I33*$T33</f>
        <v>0.26</v>
      </c>
      <c r="V33" s="386">
        <f t="shared" ref="V33:AA33" si="4">J33*$T33</f>
        <v>0</v>
      </c>
      <c r="W33" s="386">
        <f t="shared" si="4"/>
        <v>0</v>
      </c>
      <c r="X33" s="386">
        <f t="shared" si="4"/>
        <v>0.26</v>
      </c>
      <c r="Y33" s="386">
        <f t="shared" si="4"/>
        <v>0</v>
      </c>
      <c r="Z33" s="386">
        <f t="shared" si="4"/>
        <v>0</v>
      </c>
      <c r="AA33" s="386">
        <f t="shared" si="4"/>
        <v>0</v>
      </c>
      <c r="AB33" s="387">
        <f>(B$5*Y33+B$6*X33+B$7*W33+B$8*V33+B$9*U33+B$10*Z33+B$13*AA33)/10</f>
        <v>346268</v>
      </c>
      <c r="AC33" s="387">
        <f>Q33-AB33</f>
        <v>985532</v>
      </c>
      <c r="AD33"/>
      <c r="AE33"/>
      <c r="AF33"/>
      <c r="AG33"/>
      <c r="AH33"/>
      <c r="AI33"/>
      <c r="AJ33"/>
      <c r="AK33"/>
      <c r="AL33"/>
      <c r="AM33"/>
      <c r="AN33"/>
      <c r="AO33"/>
      <c r="AP33"/>
      <c r="AQ33"/>
      <c r="AR33"/>
      <c r="AS33"/>
      <c r="AT33"/>
      <c r="AU33"/>
      <c r="AV33"/>
      <c r="AW33"/>
      <c r="AX33"/>
      <c r="AY33"/>
      <c r="AZ33"/>
      <c r="BA33"/>
      <c r="BB33" s="14"/>
    </row>
    <row r="34" spans="1:54" ht="15.75">
      <c r="A34" s="1">
        <f>IF(A33&lt;'Project Information'!B$10,A33+1,"")</f>
        <v>2047</v>
      </c>
      <c r="B34" s="22">
        <f t="shared" si="0"/>
        <v>7223150</v>
      </c>
      <c r="C34" s="22">
        <f t="shared" si="1"/>
        <v>3291943</v>
      </c>
      <c r="D34" s="8">
        <f t="shared" si="2"/>
        <v>3931207</v>
      </c>
      <c r="G34" s="389"/>
      <c r="H34" s="386">
        <f t="shared" si="3"/>
        <v>0</v>
      </c>
      <c r="I34" s="43"/>
      <c r="J34" s="43"/>
      <c r="K34" s="43"/>
      <c r="L34" s="43"/>
      <c r="M34" s="43"/>
      <c r="N34" s="43"/>
      <c r="O34" s="43"/>
      <c r="P34" s="43"/>
      <c r="Q34" s="387"/>
      <c r="R34" s="386"/>
      <c r="S34" s="386"/>
      <c r="T34" s="386"/>
      <c r="U34" s="386"/>
      <c r="V34" s="386"/>
      <c r="W34" s="386"/>
      <c r="X34" s="386"/>
      <c r="Y34" s="386"/>
      <c r="Z34" s="386"/>
      <c r="AA34" s="386"/>
      <c r="AB34" s="387"/>
      <c r="AC34" s="387"/>
      <c r="AD34"/>
      <c r="AE34"/>
      <c r="AF34"/>
      <c r="AG34"/>
      <c r="AH34"/>
      <c r="AI34"/>
      <c r="AJ34"/>
      <c r="AK34"/>
      <c r="AL34"/>
      <c r="AM34"/>
      <c r="AN34"/>
      <c r="AO34"/>
      <c r="AP34"/>
      <c r="AQ34"/>
      <c r="AR34"/>
      <c r="AS34"/>
      <c r="AT34"/>
      <c r="AU34"/>
      <c r="AV34"/>
      <c r="AW34"/>
      <c r="AX34"/>
      <c r="AY34"/>
      <c r="AZ34"/>
      <c r="BA34"/>
      <c r="BB34" s="14"/>
    </row>
    <row r="35" spans="1:54">
      <c r="A35" s="1">
        <f>IF(A34&lt;'Project Information'!B$10,A34+1,"")</f>
        <v>2048</v>
      </c>
      <c r="B35" s="22">
        <f t="shared" si="0"/>
        <v>7223150</v>
      </c>
      <c r="C35" s="22">
        <f t="shared" si="1"/>
        <v>3291943</v>
      </c>
      <c r="D35" s="8">
        <f t="shared" si="2"/>
        <v>3931207</v>
      </c>
      <c r="G35" s="43"/>
      <c r="H35" s="386">
        <f t="shared" si="3"/>
        <v>0</v>
      </c>
      <c r="I35" s="43"/>
      <c r="J35" s="43"/>
      <c r="K35" s="43"/>
      <c r="L35" s="43"/>
      <c r="M35" s="43"/>
      <c r="N35" s="43"/>
      <c r="O35" s="43"/>
      <c r="P35" s="43"/>
      <c r="Q35" s="387"/>
      <c r="R35" s="386"/>
      <c r="S35" s="386"/>
      <c r="T35" s="386"/>
      <c r="U35" s="386"/>
      <c r="V35" s="386"/>
      <c r="W35" s="386"/>
      <c r="X35" s="386"/>
      <c r="Y35" s="386"/>
      <c r="Z35" s="386"/>
      <c r="AA35" s="386"/>
      <c r="AB35" s="387"/>
      <c r="AC35" s="387"/>
      <c r="AD35"/>
      <c r="AE35"/>
      <c r="AF35"/>
      <c r="AG35"/>
      <c r="AH35"/>
      <c r="AI35"/>
      <c r="AJ35"/>
      <c r="AK35"/>
      <c r="AL35"/>
      <c r="AM35"/>
      <c r="AN35"/>
      <c r="AO35"/>
      <c r="AP35"/>
      <c r="AQ35"/>
      <c r="AR35"/>
      <c r="AS35"/>
      <c r="AT35"/>
      <c r="AU35"/>
      <c r="AV35"/>
      <c r="AW35"/>
      <c r="AX35"/>
      <c r="AY35"/>
      <c r="AZ35"/>
      <c r="BA35"/>
      <c r="BB35" s="14"/>
    </row>
    <row r="36" spans="1:54" ht="15.75">
      <c r="A36" s="1">
        <f>IF(A35&lt;'Project Information'!B$10,A35+1,"")</f>
        <v>2049</v>
      </c>
      <c r="B36" s="22">
        <f t="shared" si="0"/>
        <v>7223150</v>
      </c>
      <c r="C36" s="22">
        <f t="shared" si="1"/>
        <v>3291943</v>
      </c>
      <c r="D36" s="8">
        <f t="shared" si="2"/>
        <v>3931207</v>
      </c>
      <c r="G36" s="388" t="s">
        <v>781</v>
      </c>
      <c r="H36" s="386">
        <f>SUM(I36:O36)</f>
        <v>14</v>
      </c>
      <c r="I36" s="43">
        <v>4</v>
      </c>
      <c r="J36" s="43">
        <v>4</v>
      </c>
      <c r="K36" s="43">
        <v>3</v>
      </c>
      <c r="L36" s="43">
        <v>3</v>
      </c>
      <c r="M36" s="43"/>
      <c r="N36" s="43"/>
      <c r="O36" s="43"/>
      <c r="P36" s="43" t="s">
        <v>818</v>
      </c>
      <c r="Q36" s="387">
        <f>(B$5*M36+B$6*L36+B$7*K36+B$8*J36+B$9*I36+B$10*N36+B$13*O36)/10</f>
        <v>5891350</v>
      </c>
      <c r="R36" s="386" t="s">
        <v>815</v>
      </c>
      <c r="S36" s="386" t="s">
        <v>816</v>
      </c>
      <c r="T36" s="386">
        <v>0.5</v>
      </c>
      <c r="U36" s="386">
        <f>I36*$T36</f>
        <v>2</v>
      </c>
      <c r="V36" s="386">
        <f t="shared" ref="V36:AA36" si="5">J36*$T36</f>
        <v>2</v>
      </c>
      <c r="W36" s="386">
        <f t="shared" si="5"/>
        <v>1.5</v>
      </c>
      <c r="X36" s="386">
        <f t="shared" si="5"/>
        <v>1.5</v>
      </c>
      <c r="Y36" s="386">
        <f t="shared" si="5"/>
        <v>0</v>
      </c>
      <c r="Z36" s="386">
        <f t="shared" si="5"/>
        <v>0</v>
      </c>
      <c r="AA36" s="386">
        <f t="shared" si="5"/>
        <v>0</v>
      </c>
      <c r="AB36" s="387">
        <f>(B$5*Y36+B$6*X36+B$7*W36+B$8*V36+B$9*U36+B$10*Z36+B$13*AA36)/10</f>
        <v>2945675</v>
      </c>
      <c r="AC36" s="387">
        <f>Q36-AB36</f>
        <v>2945675</v>
      </c>
      <c r="AD36"/>
      <c r="AE36"/>
      <c r="AF36"/>
      <c r="AG36"/>
      <c r="AH36"/>
      <c r="AI36"/>
      <c r="AJ36"/>
      <c r="AK36"/>
      <c r="AL36"/>
      <c r="AM36"/>
      <c r="AN36"/>
      <c r="AO36"/>
      <c r="AP36"/>
      <c r="AQ36"/>
      <c r="AR36"/>
      <c r="AS36"/>
      <c r="AT36"/>
      <c r="AU36"/>
      <c r="AV36"/>
      <c r="AW36"/>
      <c r="AX36"/>
      <c r="AY36"/>
      <c r="AZ36"/>
      <c r="BA36"/>
      <c r="BB36" s="14"/>
    </row>
    <row r="37" spans="1:54">
      <c r="A37" s="1">
        <f>IF(A36&lt;'Project Information'!B$10,A36+1,"")</f>
        <v>2050</v>
      </c>
      <c r="B37" s="22">
        <f t="shared" si="0"/>
        <v>7223150</v>
      </c>
      <c r="C37" s="22">
        <f t="shared" si="1"/>
        <v>3291943</v>
      </c>
      <c r="D37" s="8">
        <f t="shared" si="2"/>
        <v>3931207</v>
      </c>
      <c r="G37" s="386"/>
      <c r="H37" s="386">
        <f t="shared" si="3"/>
        <v>0</v>
      </c>
      <c r="I37" s="43"/>
      <c r="J37" s="43"/>
      <c r="K37" s="43"/>
      <c r="L37" s="43"/>
      <c r="M37" s="43"/>
      <c r="N37" s="43"/>
      <c r="O37" s="43"/>
      <c r="P37" s="43"/>
      <c r="Q37" s="387"/>
      <c r="R37" s="386"/>
      <c r="S37" s="386"/>
      <c r="T37" s="386"/>
      <c r="U37" s="386"/>
      <c r="V37" s="386"/>
      <c r="W37" s="386"/>
      <c r="X37" s="386"/>
      <c r="Y37" s="386"/>
      <c r="Z37" s="386"/>
      <c r="AA37" s="386"/>
      <c r="AB37" s="387"/>
      <c r="AC37" s="387"/>
      <c r="AD37"/>
      <c r="AE37"/>
      <c r="AF37"/>
      <c r="AG37"/>
      <c r="AH37"/>
      <c r="AI37"/>
      <c r="AJ37"/>
      <c r="AK37"/>
      <c r="AL37"/>
      <c r="AM37"/>
      <c r="AN37"/>
      <c r="AO37"/>
      <c r="AP37"/>
      <c r="AQ37"/>
      <c r="AR37"/>
      <c r="AS37"/>
      <c r="AT37"/>
      <c r="AU37"/>
      <c r="AV37"/>
      <c r="AW37"/>
      <c r="AX37"/>
      <c r="AY37"/>
      <c r="AZ37"/>
      <c r="BA37"/>
      <c r="BB37" s="14"/>
    </row>
    <row r="38" spans="1:54">
      <c r="A38" s="1">
        <f>IF(A37&lt;'Project Information'!B$10,A37+1,"")</f>
        <v>2051</v>
      </c>
      <c r="B38" s="22">
        <f t="shared" si="0"/>
        <v>7223150</v>
      </c>
      <c r="C38" s="22">
        <f t="shared" si="1"/>
        <v>3291943</v>
      </c>
      <c r="D38" s="8">
        <f t="shared" si="2"/>
        <v>3931207</v>
      </c>
      <c r="G38" s="386"/>
      <c r="H38" s="390">
        <f t="shared" si="3"/>
        <v>0</v>
      </c>
      <c r="I38" s="391"/>
      <c r="J38" s="391"/>
      <c r="K38" s="391"/>
      <c r="L38" s="391"/>
      <c r="M38" s="391"/>
      <c r="N38" s="391"/>
      <c r="O38" s="391"/>
      <c r="P38" s="391"/>
      <c r="Q38" s="392"/>
      <c r="R38" s="390"/>
      <c r="S38" s="390"/>
      <c r="T38" s="390"/>
      <c r="U38" s="386"/>
      <c r="V38" s="386"/>
      <c r="W38" s="386"/>
      <c r="X38" s="386"/>
      <c r="Y38" s="386"/>
      <c r="Z38" s="386"/>
      <c r="AA38" s="386"/>
      <c r="AB38" s="387"/>
      <c r="AC38" s="387"/>
      <c r="AD38"/>
      <c r="AE38"/>
      <c r="AF38"/>
      <c r="AG38"/>
      <c r="AH38"/>
      <c r="AI38"/>
      <c r="AJ38"/>
      <c r="AK38"/>
      <c r="AL38"/>
      <c r="AM38"/>
      <c r="AN38"/>
      <c r="AO38"/>
      <c r="AP38"/>
      <c r="AQ38"/>
      <c r="AR38"/>
      <c r="AS38"/>
      <c r="AT38"/>
      <c r="AU38"/>
      <c r="AV38"/>
      <c r="AW38"/>
      <c r="AX38"/>
      <c r="AY38"/>
      <c r="AZ38"/>
      <c r="BA38"/>
      <c r="BB38" s="14"/>
    </row>
    <row r="39" spans="1:54">
      <c r="A39" s="1" t="str">
        <f>IF(A38&lt;'Project Information'!B$10,A38+1,"")</f>
        <v/>
      </c>
      <c r="B39" s="22">
        <v>0</v>
      </c>
      <c r="C39" s="22">
        <v>0</v>
      </c>
      <c r="D39" s="8">
        <f t="shared" si="2"/>
        <v>0</v>
      </c>
      <c r="G39" s="386"/>
      <c r="H39" s="386">
        <f t="shared" si="3"/>
        <v>0</v>
      </c>
      <c r="I39" s="43"/>
      <c r="J39" s="43"/>
      <c r="K39" s="43"/>
      <c r="L39" s="43"/>
      <c r="M39" s="43"/>
      <c r="N39" s="43"/>
      <c r="O39" s="43"/>
      <c r="P39" s="43"/>
      <c r="Q39" s="387"/>
      <c r="R39" s="386"/>
      <c r="S39" s="386"/>
      <c r="T39" s="386"/>
      <c r="U39" s="386"/>
      <c r="V39" s="386"/>
      <c r="W39" s="386"/>
      <c r="X39" s="386"/>
      <c r="Y39" s="386"/>
      <c r="Z39" s="386"/>
      <c r="AA39" s="386"/>
      <c r="AB39" s="387"/>
      <c r="AC39" s="387"/>
      <c r="AD39"/>
      <c r="AE39"/>
      <c r="AF39"/>
      <c r="AG39"/>
      <c r="AH39"/>
      <c r="AI39"/>
      <c r="AJ39"/>
      <c r="AK39"/>
      <c r="AL39"/>
      <c r="AM39"/>
      <c r="AN39"/>
      <c r="AO39"/>
      <c r="AP39"/>
      <c r="AQ39"/>
      <c r="AR39"/>
      <c r="AS39"/>
      <c r="AT39"/>
      <c r="AU39"/>
      <c r="AV39"/>
      <c r="AW39"/>
      <c r="AX39"/>
      <c r="AY39"/>
      <c r="AZ39"/>
      <c r="BA39"/>
      <c r="BB39" s="14"/>
    </row>
    <row r="40" spans="1:54">
      <c r="A40" s="1" t="str">
        <f>IF(A39&lt;'Project Information'!B$10,A39+1,"")</f>
        <v/>
      </c>
      <c r="B40" s="22">
        <v>0</v>
      </c>
      <c r="C40" s="22">
        <v>0</v>
      </c>
      <c r="D40" s="8">
        <f t="shared" si="2"/>
        <v>0</v>
      </c>
      <c r="G40" s="386"/>
      <c r="H40" s="386">
        <f t="shared" si="3"/>
        <v>0</v>
      </c>
      <c r="I40" s="386"/>
      <c r="J40" s="386"/>
      <c r="K40" s="386"/>
      <c r="L40" s="386"/>
      <c r="M40" s="386"/>
      <c r="N40" s="386"/>
      <c r="O40" s="386"/>
      <c r="P40" s="386"/>
      <c r="Q40" s="387"/>
      <c r="R40" s="386"/>
      <c r="S40" s="386"/>
      <c r="T40" s="386"/>
      <c r="U40" s="386"/>
      <c r="V40" s="386"/>
      <c r="W40" s="386"/>
      <c r="X40" s="386"/>
      <c r="Y40" s="386"/>
      <c r="Z40" s="386"/>
      <c r="AA40" s="386"/>
      <c r="AB40" s="387"/>
      <c r="AC40" s="387"/>
      <c r="AD40"/>
      <c r="AE40"/>
      <c r="AF40"/>
      <c r="AG40"/>
      <c r="AH40"/>
      <c r="AI40"/>
      <c r="AJ40"/>
      <c r="AK40"/>
      <c r="AL40"/>
      <c r="AM40"/>
      <c r="AN40"/>
      <c r="AO40"/>
      <c r="AP40"/>
      <c r="AQ40"/>
      <c r="AR40"/>
      <c r="AS40"/>
      <c r="AT40"/>
      <c r="AU40"/>
      <c r="AV40"/>
      <c r="AW40"/>
      <c r="AX40"/>
      <c r="AY40"/>
      <c r="AZ40"/>
      <c r="BA40"/>
      <c r="BB40" s="14"/>
    </row>
    <row r="41" spans="1:54">
      <c r="A41" s="1" t="str">
        <f>IF(A40&lt;'Project Information'!B$10,A40+1,"")</f>
        <v/>
      </c>
      <c r="B41" s="22">
        <v>0</v>
      </c>
      <c r="C41" s="22">
        <v>0</v>
      </c>
      <c r="D41" s="8">
        <f t="shared" si="2"/>
        <v>0</v>
      </c>
      <c r="G41" s="386"/>
      <c r="H41" s="386"/>
      <c r="I41" s="386"/>
      <c r="J41" s="386"/>
      <c r="K41" s="386"/>
      <c r="L41" s="386"/>
      <c r="M41" s="386"/>
      <c r="N41" s="386"/>
      <c r="O41" s="386"/>
      <c r="P41" s="386"/>
      <c r="Q41" s="387"/>
      <c r="R41" s="386"/>
      <c r="S41" s="386"/>
      <c r="T41" s="386"/>
      <c r="U41" s="386"/>
      <c r="V41" s="386"/>
      <c r="W41" s="386"/>
      <c r="X41" s="386"/>
      <c r="Y41" s="386"/>
      <c r="Z41" s="386"/>
      <c r="AA41" s="386"/>
      <c r="AB41" s="393" t="s">
        <v>341</v>
      </c>
      <c r="AC41" s="387">
        <f>SUM(AC21:AC29)+SUM(AC32:AC40)</f>
        <v>3931207</v>
      </c>
      <c r="AD41"/>
      <c r="AE41"/>
      <c r="AF41"/>
      <c r="AG41"/>
      <c r="AH41"/>
      <c r="AI41"/>
      <c r="AJ41"/>
      <c r="AK41"/>
      <c r="AL41"/>
      <c r="AM41"/>
      <c r="AN41"/>
      <c r="AO41"/>
      <c r="AP41"/>
      <c r="AQ41"/>
      <c r="AR41"/>
      <c r="AS41"/>
      <c r="AT41"/>
      <c r="AU41"/>
      <c r="AV41"/>
      <c r="AW41"/>
      <c r="AX41"/>
      <c r="AY41"/>
      <c r="AZ41"/>
      <c r="BA41"/>
      <c r="BB41" s="14"/>
    </row>
    <row r="42" spans="1:54">
      <c r="A42" s="1" t="str">
        <f>IF(A41&lt;'Project Information'!B$10,A41+1,"")</f>
        <v/>
      </c>
      <c r="B42" s="22">
        <v>0</v>
      </c>
      <c r="C42" s="22">
        <v>0</v>
      </c>
      <c r="D42" s="8">
        <f t="shared" si="2"/>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t="str">
        <f>IF(A42&lt;'Project Information'!B$10,A42+1,"")</f>
        <v/>
      </c>
      <c r="B43" s="22">
        <v>0</v>
      </c>
      <c r="C43" s="22">
        <v>0</v>
      </c>
      <c r="D43" s="8">
        <f t="shared" si="2"/>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t="str">
        <f>IF(A43&lt;'Project Information'!B$10,A43+1,"")</f>
        <v/>
      </c>
      <c r="B44" s="22">
        <v>0</v>
      </c>
      <c r="C44" s="22">
        <v>0</v>
      </c>
      <c r="D44" s="8">
        <f t="shared" si="2"/>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A45" s="1" t="str">
        <f>IF(A44&lt;'Project Information'!B$10,A44+1,"")</f>
        <v/>
      </c>
      <c r="B45" s="22">
        <v>0</v>
      </c>
      <c r="C45" s="22">
        <v>0</v>
      </c>
      <c r="D45" s="8">
        <f t="shared" si="2"/>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ht="15.75" thickBot="1">
      <c r="A46" s="1" t="str">
        <f>IF(A45&lt;'Project Information'!B$10,A45+1,"")</f>
        <v/>
      </c>
      <c r="B46" s="22">
        <v>0</v>
      </c>
      <c r="C46" s="22">
        <v>0</v>
      </c>
      <c r="D46" s="8">
        <f t="shared" si="2"/>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ht="32.25" thickBot="1">
      <c r="A47" s="1" t="str">
        <f>IF(A46&lt;'Project Information'!B$10,A46+1,"")</f>
        <v/>
      </c>
      <c r="B47" s="22">
        <v>0</v>
      </c>
      <c r="C47" s="22">
        <v>0</v>
      </c>
      <c r="D47" s="8">
        <f t="shared" si="2"/>
        <v>0</v>
      </c>
      <c r="G47" s="175" t="s">
        <v>342</v>
      </c>
      <c r="H47" s="175" t="s">
        <v>343</v>
      </c>
      <c r="I47" s="175" t="s">
        <v>344</v>
      </c>
      <c r="J47" s="175" t="s">
        <v>345</v>
      </c>
      <c r="K47" s="175" t="s">
        <v>346</v>
      </c>
      <c r="L47" s="304" t="s">
        <v>340</v>
      </c>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ht="17.25" thickTop="1" thickBot="1">
      <c r="A48" s="1" t="str">
        <f>IF(A47&lt;'Project Information'!B$10,A47+1,"")</f>
        <v/>
      </c>
      <c r="B48" s="22">
        <v>0</v>
      </c>
      <c r="C48" s="22">
        <v>0</v>
      </c>
      <c r="D48" s="9">
        <f t="shared" si="2"/>
        <v>0</v>
      </c>
      <c r="G48" s="358"/>
      <c r="H48" s="358"/>
      <c r="I48" s="358"/>
      <c r="J48" s="358"/>
      <c r="K48" s="358"/>
      <c r="L48" s="347"/>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ht="126.75" thickBot="1">
      <c r="A49" s="31"/>
      <c r="B49" s="456" t="s">
        <v>827</v>
      </c>
      <c r="C49" s="456"/>
      <c r="D49" s="456"/>
      <c r="G49" s="359" t="s">
        <v>347</v>
      </c>
      <c r="H49" s="359" t="s">
        <v>348</v>
      </c>
      <c r="I49" s="359" t="s">
        <v>349</v>
      </c>
      <c r="J49" s="359">
        <v>74</v>
      </c>
      <c r="K49" s="376" t="s">
        <v>820</v>
      </c>
      <c r="L49" s="347">
        <f>(100-J49)/100</f>
        <v>0.26</v>
      </c>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ht="67.150000000000006" customHeight="1" thickBot="1">
      <c r="C50" s="28"/>
      <c r="D50" s="29"/>
      <c r="G50" s="359" t="s">
        <v>781</v>
      </c>
      <c r="H50" s="359" t="s">
        <v>348</v>
      </c>
      <c r="I50" s="359" t="s">
        <v>780</v>
      </c>
      <c r="J50" s="359">
        <v>50</v>
      </c>
      <c r="K50" s="377" t="s">
        <v>820</v>
      </c>
      <c r="L50" s="347">
        <f>(100-J50)/100</f>
        <v>0.5</v>
      </c>
      <c r="M50"/>
      <c r="N50"/>
      <c r="O50"/>
      <c r="P50"/>
      <c r="Q50"/>
      <c r="R50"/>
      <c r="S50"/>
      <c r="T50"/>
      <c r="U50"/>
      <c r="V50"/>
      <c r="W50"/>
      <c r="X50"/>
      <c r="Y50"/>
      <c r="Z50"/>
      <c r="AA50"/>
      <c r="AB50"/>
      <c r="AC50"/>
      <c r="AD50"/>
      <c r="AE50"/>
      <c r="AF50"/>
      <c r="AG50"/>
      <c r="AH50"/>
      <c r="AI50"/>
      <c r="AJ50"/>
      <c r="AK50"/>
      <c r="AL50"/>
      <c r="AM50"/>
      <c r="AN50"/>
      <c r="AO50"/>
      <c r="AP50"/>
      <c r="AQ50"/>
      <c r="AR50"/>
      <c r="AS50"/>
      <c r="AT50"/>
      <c r="AU50"/>
      <c r="AV50" s="14"/>
    </row>
    <row r="51" spans="1:54">
      <c r="B51" s="28"/>
      <c r="C51" s="28"/>
      <c r="D51" s="29"/>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s="14"/>
    </row>
    <row r="56" spans="1:54">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14"/>
    </row>
    <row r="60" spans="1:54">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4"/>
    </row>
    <row r="61" spans="1:54">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s="14"/>
    </row>
    <row r="62" spans="1: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14"/>
    </row>
    <row r="63" spans="1: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s="14"/>
    </row>
    <row r="64" spans="1: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ht="15.75" thickBot="1">
      <c r="G110" s="15"/>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7"/>
    </row>
  </sheetData>
  <mergeCells count="1">
    <mergeCell ref="B49:D49"/>
  </mergeCells>
  <conditionalFormatting sqref="B19:B48">
    <cfRule type="expression" dxfId="16" priority="3">
      <formula>A19=""</formula>
    </cfRule>
  </conditionalFormatting>
  <conditionalFormatting sqref="C19:C48">
    <cfRule type="expression" dxfId="15" priority="2">
      <formula>A19=""</formula>
    </cfRule>
  </conditionalFormatting>
  <conditionalFormatting sqref="T23:T31">
    <cfRule type="colorScale" priority="1">
      <colorScale>
        <cfvo type="min"/>
        <cfvo type="percentile" val="50"/>
        <cfvo type="max"/>
        <color rgb="FF63BE7B"/>
        <color rgb="FFFFEB84"/>
        <color rgb="FFF8696B"/>
      </colorScale>
    </cfRule>
  </conditionalFormatting>
  <hyperlinks>
    <hyperlink ref="K49" r:id="rId1" display="https://connect.ncdot.gov/resources/safety/TrafficSafetyResources/NCDOT CRF Update.pdf" xr:uid="{41E6EB05-0808-4820-940F-C24C8D97693C}"/>
    <hyperlink ref="K50" r:id="rId2" display="https://connect.ncdot.gov/resources/safety/TrafficSafetyResources/NCDOT CRF Update.pdf" xr:uid="{64A0D94D-B8B1-40B2-BD9F-BD4153C519EE}"/>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election activeCell="D13" sqref="D13"/>
    </sheetView>
  </sheetViews>
  <sheetFormatPr defaultColWidth="9.140625" defaultRowHeight="15"/>
  <cols>
    <col min="1" max="1" width="28.5703125" style="5" customWidth="1"/>
    <col min="2" max="2" width="27.42578125" style="5" customWidth="1"/>
    <col min="3" max="3" width="28.85546875" style="5" customWidth="1"/>
    <col min="4" max="4" width="30.85546875" style="5" customWidth="1"/>
    <col min="5" max="16384" width="9.140625" style="5"/>
  </cols>
  <sheetData>
    <row r="1" spans="1:10" ht="20.25" thickBot="1">
      <c r="A1" s="96" t="s">
        <v>244</v>
      </c>
    </row>
    <row r="2" spans="1:10" ht="15.75" thickTop="1">
      <c r="A2" s="151" t="s">
        <v>238</v>
      </c>
      <c r="B2" s="151"/>
      <c r="C2" s="151"/>
      <c r="D2" s="151"/>
      <c r="E2" s="151"/>
      <c r="F2" s="151"/>
      <c r="G2" s="151"/>
    </row>
    <row r="3" spans="1:10">
      <c r="A3" s="5" t="s">
        <v>20</v>
      </c>
    </row>
    <row r="4" spans="1:10">
      <c r="A4" s="152" t="s">
        <v>232</v>
      </c>
      <c r="B4" s="151"/>
      <c r="C4" s="151"/>
      <c r="D4" s="151"/>
      <c r="E4" s="151"/>
      <c r="F4" s="151"/>
      <c r="G4" s="151"/>
      <c r="H4" s="151"/>
      <c r="I4" s="151"/>
      <c r="J4" s="151"/>
    </row>
    <row r="5" spans="1:10">
      <c r="A5" s="38" t="s">
        <v>20</v>
      </c>
    </row>
    <row r="6" spans="1:10">
      <c r="A6" s="97" t="s">
        <v>239</v>
      </c>
    </row>
    <row r="7" spans="1:10">
      <c r="A7" s="116" t="s">
        <v>49</v>
      </c>
      <c r="B7" s="116" t="s">
        <v>245</v>
      </c>
    </row>
    <row r="8" spans="1:10">
      <c r="A8" s="35" t="s">
        <v>246</v>
      </c>
      <c r="B8" s="39">
        <f>'Parameter Values'!B24</f>
        <v>19.399999999999999</v>
      </c>
    </row>
    <row r="9" spans="1:10">
      <c r="A9" s="35" t="s">
        <v>247</v>
      </c>
      <c r="B9" s="39">
        <f>'Parameter Values'!B25</f>
        <v>33.5</v>
      </c>
    </row>
    <row r="10" spans="1:10">
      <c r="A10" s="35" t="s">
        <v>248</v>
      </c>
      <c r="B10" s="39">
        <f>'Parameter Values'!B26</f>
        <v>21.1</v>
      </c>
    </row>
    <row r="11" spans="1:10" ht="30">
      <c r="A11" s="35" t="s">
        <v>249</v>
      </c>
      <c r="B11" s="39">
        <f>'Parameter Values'!B28</f>
        <v>38.799999999999997</v>
      </c>
    </row>
    <row r="12" spans="1:10">
      <c r="A12" s="35" t="s">
        <v>250</v>
      </c>
      <c r="B12" s="39"/>
    </row>
    <row r="13" spans="1:10">
      <c r="A13" s="35" t="s">
        <v>57</v>
      </c>
      <c r="B13" s="39">
        <f>'Parameter Values'!B31</f>
        <v>35.700000000000003</v>
      </c>
    </row>
    <row r="14" spans="1:10">
      <c r="A14" s="35" t="s">
        <v>58</v>
      </c>
      <c r="B14" s="39">
        <f>'Parameter Values'!B32</f>
        <v>42.6</v>
      </c>
    </row>
    <row r="15" spans="1:10">
      <c r="A15" s="35" t="s">
        <v>59</v>
      </c>
      <c r="B15" s="39">
        <f>'Parameter Values'!B33</f>
        <v>59.6</v>
      </c>
    </row>
    <row r="16" spans="1:10">
      <c r="A16" s="35" t="s">
        <v>60</v>
      </c>
      <c r="B16" s="39">
        <f>'Parameter Values'!B34</f>
        <v>52.9</v>
      </c>
    </row>
    <row r="17" spans="1:54">
      <c r="A17" s="38" t="s">
        <v>20</v>
      </c>
    </row>
    <row r="18" spans="1:54" ht="15.75" thickBot="1">
      <c r="A18" s="97" t="s">
        <v>251</v>
      </c>
    </row>
    <row r="19" spans="1:54">
      <c r="A19" s="107" t="s">
        <v>222</v>
      </c>
      <c r="B19" s="108" t="s">
        <v>252</v>
      </c>
      <c r="C19" s="108" t="s">
        <v>253</v>
      </c>
      <c r="D19" s="114" t="s">
        <v>254</v>
      </c>
      <c r="G19" s="10" t="s">
        <v>221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c r="A20" s="6">
        <f>'Project Information'!$B$8</f>
        <v>2032</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c r="A21" s="1">
        <f>IF(A20&lt;'Project Information'!B$10,A20+1,"")</f>
        <v>2033</v>
      </c>
      <c r="B21" s="22">
        <v>0</v>
      </c>
      <c r="C21" s="22">
        <v>0</v>
      </c>
      <c r="D21" s="8">
        <f t="shared" ref="D21:D49" si="0">B21-C21</f>
        <v>0</v>
      </c>
      <c r="G21" s="13" t="s">
        <v>554</v>
      </c>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c r="A22" s="1">
        <f>IF(A21&lt;'Project Information'!B$10,A21+1,"")</f>
        <v>2034</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c r="A23" s="1">
        <f>IF(A22&lt;'Project Information'!B$10,A22+1,"")</f>
        <v>2035</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c r="A24" s="1">
        <f>IF(A23&lt;'Project Information'!B$10,A23+1,"")</f>
        <v>2036</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c r="A25" s="1">
        <f>IF(A24&lt;'Project Information'!B$10,A24+1,"")</f>
        <v>2037</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c r="A26" s="1">
        <f>IF(A25&lt;'Project Information'!B$10,A25+1,"")</f>
        <v>2038</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f>IF(A26&lt;'Project Information'!B$10,A26+1,"")</f>
        <v>2039</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Information'!B$10,A27+1,"")</f>
        <v>2040</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Information'!B$10,A28+1,"")</f>
        <v>2041</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Information'!B$10,A29+1,"")</f>
        <v>2042</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c r="A31" s="1">
        <f>IF(A30&lt;'Project Information'!B$10,A30+1,"")</f>
        <v>2043</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Information'!B$10,A31+1,"")</f>
        <v>2044</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f>IF(A32&lt;'Project Information'!B$10,A32+1,"")</f>
        <v>2045</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Information'!B$10,A33+1,"")</f>
        <v>2046</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Information'!B$10,A34+1,"")</f>
        <v>2047</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Information'!B$10,A35+1,"")</f>
        <v>2048</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Information'!B$10,A36+1,"")</f>
        <v>2049</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A38" s="1">
        <f>IF(A37&lt;'Project Information'!B$10,A37+1,"")</f>
        <v>2050</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A39" s="1">
        <f>IF(A38&lt;'Project Information'!B$10,A38+1,"")</f>
        <v>2051</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A40" s="1" t="str">
        <f>IF(A39&lt;'Project Information'!B$10,A39+1,"")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A41" s="1" t="str">
        <f>IF(A40&lt;'Project Information'!B$10,A40+1,"")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A42" s="1" t="str">
        <f>IF(A41&lt;'Project Information'!B$10,A41+1,"")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t="str">
        <f>IF(A42&lt;'Project Information'!B$10,A42+1,"")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t="str">
        <f>IF(A43&lt;'Project Information'!B$10,A43+1,"")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A45" s="1" t="str">
        <f>IF(A44&lt;'Project Information'!B$10,A44+1,"")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A46" s="1" t="str">
        <f>IF(A45&lt;'Project Information'!B$10,A45+1,"")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A47" s="1" t="str">
        <f>IF(A46&lt;'Project Information'!B$10,A46+1,"")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A48" s="1" t="str">
        <f>IF(A47&lt;'Project Information'!B$10,A47+1,"")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c r="A49" s="1" t="str">
        <f>IF(A48&lt;'Project Information'!B$10,A48+1,"")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75" thickBot="1">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5C517291EF04AAC9C1EC684A9E889" ma:contentTypeVersion="4" ma:contentTypeDescription="Create a new document." ma:contentTypeScope="" ma:versionID="bc053ba6bcbd91e1e77e737baadc4582">
  <xsd:schema xmlns:xsd="http://www.w3.org/2001/XMLSchema" xmlns:xs="http://www.w3.org/2001/XMLSchema" xmlns:p="http://schemas.microsoft.com/office/2006/metadata/properties" xmlns:ns1="http://schemas.microsoft.com/sharepoint/v3" xmlns:ns2="16f00c2e-ac5c-418b-9f13-a0771dbd417d" xmlns:ns3="7fc0e508-3698-4115-b20b-f2559bb5272e" targetNamespace="http://schemas.microsoft.com/office/2006/metadata/properties" ma:root="true" ma:fieldsID="8c6755e6599ecf7feabd9703dc9c3293" ns1:_="" ns2:_="" ns3:_="">
    <xsd:import namespace="http://schemas.microsoft.com/sharepoint/v3"/>
    <xsd:import namespace="16f00c2e-ac5c-418b-9f13-a0771dbd417d"/>
    <xsd:import namespace="7fc0e508-3698-4115-b20b-f2559bb5272e"/>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fc0e508-3698-4115-b20b-f2559bb5272e"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ortOrder xmlns="7fc0e508-3698-4115-b20b-f2559bb5272e">8</SortOrder>
    <URL xmlns="http://schemas.microsoft.com/sharepoint/v3">
      <Url xsi:nil="true"/>
      <Description xsi:nil="true"/>
    </URL>
    <Category xmlns="7fc0e508-3698-4115-b20b-f2559bb5272e">Application Information</Category>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EF4A7D6-ABFC-4BD9-823E-560437AEB631}"/>
</file>

<file path=customXml/itemProps2.xml><?xml version="1.0" encoding="utf-8"?>
<ds:datastoreItem xmlns:ds="http://schemas.openxmlformats.org/officeDocument/2006/customXml" ds:itemID="{761C3AF1-6D3C-4CEA-BA00-DC961D4DAF6B}"/>
</file>

<file path=customXml/itemProps3.xml><?xml version="1.0" encoding="utf-8"?>
<ds:datastoreItem xmlns:ds="http://schemas.openxmlformats.org/officeDocument/2006/customXml" ds:itemID="{2920E983-F4E6-4678-BD3F-9C8EE01FA705}"/>
</file>

<file path=customXml/itemProps4.xml><?xml version="1.0" encoding="utf-8"?>
<ds:datastoreItem xmlns:ds="http://schemas.openxmlformats.org/officeDocument/2006/customXml" ds:itemID="{9D1F28FA-B79C-41F4-97AD-9890C4F731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Population and Mode Share (Arc)</vt:lpstr>
      <vt:lpstr>Overview</vt:lpstr>
      <vt:lpstr>Parameter Values</vt:lpstr>
      <vt:lpstr>Project Information</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Benefit 1</vt:lpstr>
      <vt:lpstr>Other Benefit 2</vt:lpstr>
      <vt:lpstr>Other Benefit 3</vt:lpstr>
      <vt:lpstr>Other Benefit 4</vt:lpstr>
      <vt:lpstr>Summary</vt:lpstr>
      <vt:lpstr>Final Results</vt:lpstr>
      <vt:lpstr>Population and Mode Share Proj.</vt:lpstr>
      <vt:lpstr>Trip Multipliers</vt:lpstr>
      <vt:lpstr>Census Modal Data</vt:lpstr>
      <vt:lpstr>Census Population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BCA Calculation</dc:title>
  <dc:subject/>
  <dc:creator>Riesenberg, Jordan (OST)</dc:creator>
  <cp:keywords/>
  <dc:description/>
  <cp:lastModifiedBy>Jordan Powell</cp:lastModifiedBy>
  <cp:revision/>
  <dcterms:created xsi:type="dcterms:W3CDTF">2023-03-14T14:10:51Z</dcterms:created>
  <dcterms:modified xsi:type="dcterms:W3CDTF">2025-01-27T20:55:31Z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0x0101008205C517291EF04AAC9C1EC684A9E889</vt:lpwstr>
  </property>
  <property fmtid="{D5CDD505-2E9C-101B-9397-08002B2CF9AE}" pid="3" name="Order">
    <vt:r8>1200</vt:r8>
  </property>
</Properties>
</file>